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5" tabRatio="713" firstSheet="1" activeTab="1"/>
  </bookViews>
  <sheets>
    <sheet name="приложение 8" sheetId="1" state="hidden" r:id="rId1"/>
    <sheet name="Приложение 1" sheetId="2" r:id="rId2"/>
    <sheet name="Приложение 2" sheetId="3" state="hidden" r:id="rId3"/>
    <sheet name="приложение 3" sheetId="4" r:id="rId4"/>
    <sheet name="Лист1" sheetId="5" r:id="rId5"/>
    <sheet name="для сверки" sheetId="6" state="hidden" r:id="rId6"/>
  </sheets>
  <externalReferences>
    <externalReference r:id="rId9"/>
    <externalReference r:id="rId10"/>
  </externalReferences>
  <definedNames>
    <definedName name="sub_1011" localSheetId="1">'Приложение 1'!$A$12</definedName>
    <definedName name="sub_1012" localSheetId="1">'Приложение 1'!$A$13</definedName>
    <definedName name="sub_1013" localSheetId="1">'Приложение 1'!$A$14</definedName>
    <definedName name="sub_1014" localSheetId="1">'Приложение 1'!$A$15</definedName>
    <definedName name="sub_1021" localSheetId="1">'Приложение 1'!$A$22</definedName>
    <definedName name="sub_1022" localSheetId="1">'Приложение 1'!$A$23</definedName>
    <definedName name="sub_1023" localSheetId="1">'Приложение 1'!$A$24</definedName>
    <definedName name="sub_1025" localSheetId="1">'Приложение 1'!$A$26</definedName>
    <definedName name="sub_1027" localSheetId="1">'Приложение 1'!$A$28</definedName>
    <definedName name="sub_1028" localSheetId="1">'Приложение 1'!$A$29</definedName>
    <definedName name="sub_1039995" localSheetId="1">'Приложение 1'!$A$16</definedName>
    <definedName name="sub_1039996" localSheetId="1">'Приложение 1'!$A$17</definedName>
    <definedName name="sub_1042" localSheetId="1">'Приложение 1'!$A$33</definedName>
    <definedName name="sub_1043" localSheetId="1">'Приложение 1'!$A$34</definedName>
    <definedName name="sub_1051" localSheetId="1">'Приложение 1'!$A$38</definedName>
    <definedName name="sub_1052" localSheetId="1">'Приложение 1'!$A$39</definedName>
    <definedName name="sub_1053" localSheetId="1">'Приложение 1'!$A$40</definedName>
    <definedName name="sub_1054" localSheetId="1">'Приложение 1'!$A$41</definedName>
    <definedName name="sub_1061" localSheetId="1">'Приложение 1'!$A$47</definedName>
    <definedName name="sub_1062" localSheetId="1">'Приложение 1'!$A$48</definedName>
    <definedName name="sub_1063" localSheetId="1">'Приложение 1'!$A$49</definedName>
    <definedName name="sub_1064" localSheetId="1">'Приложение 1'!$A$50</definedName>
    <definedName name="sub_1065" localSheetId="1">'Приложение 1'!$A$51</definedName>
    <definedName name="sub_1067" localSheetId="1">'Приложение 1'!$A$53</definedName>
    <definedName name="sub_1068" localSheetId="1">'Приложение 1'!$A$54</definedName>
    <definedName name="sub_1069" localSheetId="1">'Приложение 1'!$A$55</definedName>
    <definedName name="_xlnm.Print_Titles" localSheetId="3">'приложение 3'!$6:$8</definedName>
    <definedName name="_xlnm.Print_Titles" localSheetId="0">'приложение 8'!$10:$13</definedName>
    <definedName name="_xlnm.Print_Area" localSheetId="3">'приложение 3'!$A$1:$O$448</definedName>
    <definedName name="_xlnm.Print_Area" localSheetId="0">'приложение 8'!$A$1:$O$1411</definedName>
  </definedNames>
  <calcPr fullCalcOnLoad="1"/>
</workbook>
</file>

<file path=xl/sharedStrings.xml><?xml version="1.0" encoding="utf-8"?>
<sst xmlns="http://schemas.openxmlformats.org/spreadsheetml/2006/main" count="3371" uniqueCount="674">
  <si>
    <t xml:space="preserve">2015 </t>
  </si>
  <si>
    <t xml:space="preserve">                                                                                                                                          </t>
  </si>
  <si>
    <t xml:space="preserve">Мероприятие 4.2.2 Строительство многофункционального спортивного комплекса, п. Николаевка, Елизовский район, Камчатский край (в том числе проектные работы)
</t>
  </si>
  <si>
    <t xml:space="preserve">Мероприятие 4.2.4 Строительство  физкультурно-оздоровительного комплекса в п. Озерновский (в том числе проектные работы)
</t>
  </si>
  <si>
    <t xml:space="preserve">Мероприятие 4.3.3 Физкультурно-оздоровительный комплекс с ледовой ареной в г. Петропавловск-Камчатский 
</t>
  </si>
  <si>
    <t>Мероприятие 4.3.4 Устройство электроосвещения и твердого асфальтобетонного покрытия на лыжероллерной трассе и биатлонном стадионе. Биатлонный комплекс в г. Петропавловске-Камчатском с освещенной лыжероллерной трассой</t>
  </si>
  <si>
    <t>Мероприятие 4.1.8 Реконструкция спортивной площадки для занятий ледовыми видами спорта на объекте "Зимние виды спорта"</t>
  </si>
  <si>
    <t>Мероприятие 4.2.7 Строительство  физкультурно-оздоровительного комплекса в п. Усть-Большерецк (в том числе проектные работы)</t>
  </si>
  <si>
    <t xml:space="preserve">Мероприятие 4.3.12 Строительство регионального спортивно-тренировочного центра по зимним видам спорта (в том числе проектные работы)
</t>
  </si>
  <si>
    <t>Основное мероприятие 2.2. Развитие учреждений сферы физической культуры и спорта</t>
  </si>
  <si>
    <t xml:space="preserve">Мероприятие 4.3.15.Биатлонный комплекс в  г. Петропавловск-Камчатский. Техническое перевооружение. </t>
  </si>
  <si>
    <t>Мероприятие 4.2.9 Строительство межшкольного стадиона в г. Петропавловск-Камчатский, Камчатский край (в том числе проектные работы)</t>
  </si>
  <si>
    <t>Мероприятие 4.2.10 Иные межбюджетные трансферты на погашение задолженности по выполненным проектным работам по объекту "Плавательный бассейн в п. Усть-Камчатск"</t>
  </si>
  <si>
    <t>Основное мероприятие 4.2 Проектирование, строительство, реконструкция и модернизация  спортивных объектов для занятий физической культурой и массовым спортом</t>
  </si>
  <si>
    <t xml:space="preserve">Основное мероприятие 4.3  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</si>
  <si>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Мероприятие 4.2.5 Строительство физкультурно-оздоровительного комплекса с плавательным бассейном, г. Петропавловск-Камчатский, ул. Океанская, 80/2 (в том числе проектные работы)</t>
  </si>
  <si>
    <t>Мероприятие 4.2.8 Строительство межшкольного стадиона в г. Елизово, Камчатский край (в том числе проектные работы)</t>
  </si>
  <si>
    <t>Мероприятие 4.3.8 Строительство здания Краевое государственное автономное учреждение дополнительного образования  «Специализированная детско-юношеская спортивная школа олимпийского резерва по горнолыжному спорту "Морозная" ( в том числе проектные работы)</t>
  </si>
  <si>
    <t>Подпрограма 5"Молодежь Камчатки"</t>
  </si>
  <si>
    <t xml:space="preserve">Капитальный ремонт, строительство, реконструкция  объектов  спортивной инфраструктуры  муниципальной собственности, имеющих региональное софинансирование                    </t>
  </si>
  <si>
    <r>
      <t>1</t>
    </r>
    <r>
      <rPr>
        <sz val="8"/>
        <color indexed="8"/>
        <rFont val="Times New Roman"/>
        <family val="1"/>
      </rPr>
      <t xml:space="preserve"> Включаются мероприятия предлагаемые к реализации в очередном финансовом году</t>
    </r>
  </si>
  <si>
    <r>
      <rPr>
        <vertAlign val="superscript"/>
        <sz val="8"/>
        <color indexed="8"/>
        <rFont val="Times New Roman"/>
        <family val="1"/>
      </rPr>
      <t>2</t>
    </r>
    <r>
      <rPr>
        <sz val="8"/>
        <color indexed="8"/>
        <rFont val="Times New Roman"/>
        <family val="1"/>
      </rPr>
      <t xml:space="preserve"> В части финансового обеспечения реализации государственной программы за счет средств краевого бюджета.</t>
    </r>
  </si>
  <si>
    <t>Мероприятие 4.3.9  Строительство  футбольных полей  (в том числе проектные работы)</t>
  </si>
  <si>
    <t>Мероприятие 4.1.10 Строительство физкультурно-оздоровительных комплексов в муниципальных образованиях в Камчатском крае</t>
  </si>
  <si>
    <t xml:space="preserve">Мероприятие 4.3.13 Биатлонный комплекс в г. Петропавловске-Камчатский. Биатлонный стадион. Первый этап: Строительство полузакрытого малокалиберного тира(в том числе технические помещения) 
</t>
  </si>
  <si>
    <t>Мероприятие 4.1.9 Обустройство спортивных площадок    для подготовки к выполнению и выполнения нормативов комплекса ГТО в муниципальных образованиях в Камчатском крае</t>
  </si>
  <si>
    <t xml:space="preserve">     Министерство имущественных и земельных отношений Камчатского края, Аппарат Губернтатора и Правительства Камчатского края</t>
  </si>
  <si>
    <t xml:space="preserve">Мероприятие 2.1.4 Материально-техническое обеспечение членов спортивных сборных команд Камчатского края по видам спорта (обеспечение спортивной экипировкой, медицинское и антидопинговое обеспечение) </t>
  </si>
  <si>
    <t>Подпрограмма 6 "Организация отдыха и оздоровления детей и молодежи в Камчатском крае на 2014-2018 годы"</t>
  </si>
  <si>
    <t xml:space="preserve">Мероприятие 4.2.6  Обустройство спортивных площадок для подготовки к выполнению и выполнению нормативов комплекса ГТО </t>
  </si>
  <si>
    <t>Мероприятие 4.2.11 Обустройство спортивных площадок</t>
  </si>
  <si>
    <t>Развитие  учреждений  сферы физической культры и спорта</t>
  </si>
  <si>
    <t>2019 г.</t>
  </si>
  <si>
    <t>2020 г.</t>
  </si>
  <si>
    <t>№</t>
  </si>
  <si>
    <t>Наименование основного мероприятия, КВЦП,   контрольного события программы</t>
  </si>
  <si>
    <t>Объем ресурсного обеспечения,
тыс. руб.</t>
  </si>
  <si>
    <t>Срок начала реали-зации</t>
  </si>
  <si>
    <t>Срок оконча-ния реализа-ции (дата контроль-ного события)</t>
  </si>
  <si>
    <t>всего</t>
  </si>
  <si>
    <t>2014 г.</t>
  </si>
  <si>
    <t>2015 г.</t>
  </si>
  <si>
    <t>2016 г.</t>
  </si>
  <si>
    <t>2017 г.</t>
  </si>
  <si>
    <t>2018 г.</t>
  </si>
  <si>
    <t>федеральный бюджет</t>
  </si>
  <si>
    <t>краевой бюджет</t>
  </si>
  <si>
    <t>местные бюджеты</t>
  </si>
  <si>
    <t>государственные внебюджетные фонды</t>
  </si>
  <si>
    <t>юридические лица</t>
  </si>
  <si>
    <t>1.</t>
  </si>
  <si>
    <t>Подпрограмма 1 "Развитие массовой физической культуры и спорта в Камчатском крае"</t>
  </si>
  <si>
    <t>Всего:</t>
  </si>
  <si>
    <t>Привлечение большего числа населения к систематическим занятиям физической культурой и спортом</t>
  </si>
  <si>
    <t>краевой бюджет, в том числе:</t>
  </si>
  <si>
    <t>Контрольное событие программы 1</t>
  </si>
  <si>
    <t xml:space="preserve">Основное мероприятие 1.2 Физическое воспитание и обеспечение организации и проведения физкультурных мероприятий и массовых спортивных мероприятий  </t>
  </si>
  <si>
    <t>Основное мероприятие 1.3 Совершенствование материально-технической базы для занятий физической культурой и массовым спортом</t>
  </si>
  <si>
    <t>Мероприятие 1.3.1 Приобретение спортивного инвентаря и оборудования для работы спортивных секций, спортивных школ в муниципальных районах  (городских округах) в Камчатском крае</t>
  </si>
  <si>
    <t>Мероприятие 1.3.2 Оснащение муниципальных объектов спорта необходимым оборудованием  для систематических занятий физической культурой и спортом лиц с ограниченными возможностями здоровья и инвалидов</t>
  </si>
  <si>
    <t>2.</t>
  </si>
  <si>
    <t>Подпрограмма 2 "Развитие спорта высших достижений и системы подготовки спортивного резерва"</t>
  </si>
  <si>
    <t>Основное мероприятие 2.1. Обеспечение спортивной подготовки   спортсменов высокого класса и спортивного резерва</t>
  </si>
  <si>
    <r>
      <t xml:space="preserve">Мероприятие 2.1.1 Организация и проведение официальных физкультурных и спортивных мероприятий на территории Камчатского края </t>
    </r>
  </si>
  <si>
    <t>Реализация календарного плана спортивных и физкультурных мероприятий</t>
  </si>
  <si>
    <t>Мероприятие 2.1.3 Обеспечение подготовки и повышение квалификации спортивных судей по видам спорта (направление спортивных судей на всероссийские соревнования для повышения квалификации, получения судейской практики, участия в семинарах для спортивных судей) и направление тренеров, членов спортивных федераций по видам спорта на всероссийские тренерские советы, конференции, совещания</t>
  </si>
  <si>
    <t>проверка</t>
  </si>
  <si>
    <t>804</t>
  </si>
  <si>
    <t>Повышение квалификации специалистов сферы физической культуры и спорта</t>
  </si>
  <si>
    <t>Улучшение материально-технического обеспечения членов спортивных сборных команд Камчатского края</t>
  </si>
  <si>
    <t xml:space="preserve">Мероприятие 2.1.5 Предоставление мер социальной поддержки спортсменам и их тренерам, добившихся высоких спортивных результатов в соответствии с законом Камчатского края </t>
  </si>
  <si>
    <t>Мероприятие 2.2.1 Обеспечение  выполнения государственного задания краевых государственных учреждений сферы физической культуры и спорта</t>
  </si>
  <si>
    <t>Обеспечение деятельности учреждений</t>
  </si>
  <si>
    <t xml:space="preserve">Мероприятие 2.2.2 Обеспечение деятельности краевых государственных учреждений сферы физической культуры и спорта </t>
  </si>
  <si>
    <t xml:space="preserve">Мероприятие 2.3.2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 проводящих физкультурно-оздоровительную и спортивную работу с населением </t>
  </si>
  <si>
    <t>Мероприятие 2.3.3 Повышение квалификации и стажировка специалистов, принимающих участие в подготовке спортивного резерва, специалистов, принимающих участие в подготовке спортивного резерва, специалистов, работающих с электронным хронометражем и другим современным оборудованием, повышение квалификации водителей снегоутрамбовочной техники</t>
  </si>
  <si>
    <t>Мероприятие 2.3.4 Проведение мастер классов ведущими спортсменами, тренерами, специалистами в сфере физической культуры и спорта,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t>
  </si>
  <si>
    <t>3.</t>
  </si>
  <si>
    <t>Подпрограмма 3 "Обеспечение реализации Программы"</t>
  </si>
  <si>
    <t>Мероприятие 3.1.1 Содержание центрального аппарата</t>
  </si>
  <si>
    <t>Обеспечение реализации государственной программы</t>
  </si>
  <si>
    <t>4.</t>
  </si>
  <si>
    <t>Подпрограмма 4 "Развитие инфраструктуры для занятий физической культурой и спортом"</t>
  </si>
  <si>
    <t>Мероприятие 4.1.5 Реконструкция муниципальных стадионов  находящихся в муниципальных районах (городских округах) в Камчатском крае</t>
  </si>
  <si>
    <t>5.</t>
  </si>
  <si>
    <t>Улучшение положения молодежи в обществе, рост социальной, деловой, творческой активности</t>
  </si>
  <si>
    <t>-</t>
  </si>
  <si>
    <t>Создание условий для интеллектуального, творческого развития молодежи, реализации ее научно-технического и творческого потенциала</t>
  </si>
  <si>
    <t>2015</t>
  </si>
  <si>
    <t>2017</t>
  </si>
  <si>
    <t>Укрепление института молодой семьи</t>
  </si>
  <si>
    <t>Обеспечение деятельности учреждений сферы молодежной политики</t>
  </si>
  <si>
    <t>6.1.</t>
  </si>
  <si>
    <t>Координация и организация проведения оздоровительной кампании в Камчатском крае</t>
  </si>
  <si>
    <t>6.2.</t>
  </si>
  <si>
    <t>Мероприятия по повышению качества услуг, предоставляемых организациями отдыха детей и их оздоровления</t>
  </si>
  <si>
    <t>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</si>
  <si>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Министерство социального развития и труда Камчатского края, Волкова Н.А.</t>
  </si>
  <si>
    <t>Страхование детей и подростков во время их пребывания в организациях отдыха и оздоровления, а также во время их проезда к месту отдыха и обратно</t>
  </si>
  <si>
    <t>6.6.</t>
  </si>
  <si>
    <t>Министерство строительства Камчатского края</t>
  </si>
  <si>
    <t>Приемка пищеблока по акту приемки</t>
  </si>
  <si>
    <t>Передача игровых комплексов по акту приемки -передачи</t>
  </si>
  <si>
    <t>6.7.</t>
  </si>
  <si>
    <t>Научно-методическое, кадровое и информационное обеспечение оздоровительной кампании детей в Камчатском крае</t>
  </si>
  <si>
    <t>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</si>
  <si>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 п/п</t>
  </si>
  <si>
    <t>Объем средств на реализацию программы</t>
  </si>
  <si>
    <t>ГРБС</t>
  </si>
  <si>
    <t>847</t>
  </si>
  <si>
    <t>812</t>
  </si>
  <si>
    <t>822</t>
  </si>
  <si>
    <t>тыс. руб.</t>
  </si>
  <si>
    <t>Наименование государственной программы / подпрограммы / мероприятия</t>
  </si>
  <si>
    <t xml:space="preserve">Код бюджетной классификации </t>
  </si>
  <si>
    <t>ВСЕГО</t>
  </si>
  <si>
    <t>Всего, в том числе:</t>
  </si>
  <si>
    <t>за счет средств федерального бюджета</t>
  </si>
  <si>
    <t>за счет средств краевого бюджета</t>
  </si>
  <si>
    <t>за счет средств местных бюджетов</t>
  </si>
  <si>
    <t>за счет средств внебюджетных фондов</t>
  </si>
  <si>
    <t>1.1.</t>
  </si>
  <si>
    <t>за счет средств краевого бюджета, в том числе:</t>
  </si>
  <si>
    <t>1.2.</t>
  </si>
  <si>
    <t>1.3.</t>
  </si>
  <si>
    <t>2.1.</t>
  </si>
  <si>
    <t>1120999</t>
  </si>
  <si>
    <t>1122033</t>
  </si>
  <si>
    <t>2.2.</t>
  </si>
  <si>
    <t>2.3.</t>
  </si>
  <si>
    <t>3.1.</t>
  </si>
  <si>
    <t>4.1.</t>
  </si>
  <si>
    <t>4.2.</t>
  </si>
  <si>
    <t>4.3.</t>
  </si>
  <si>
    <t>5.1.</t>
  </si>
  <si>
    <t>Вовлечение молодёжи в социальную практику и её информирование о потенциальных возможностях развития</t>
  </si>
  <si>
    <t>1150999</t>
  </si>
  <si>
    <t>5.2.</t>
  </si>
  <si>
    <t>1152008</t>
  </si>
  <si>
    <t>5.4.</t>
  </si>
  <si>
    <t>6.</t>
  </si>
  <si>
    <t>815</t>
  </si>
  <si>
    <t>813</t>
  </si>
  <si>
    <t>6.3.</t>
  </si>
  <si>
    <t>6.4.</t>
  </si>
  <si>
    <t>Мероприятия по созданию условий для обеспечения безопасного пребывания детей и подростков в учреждениях отдыха и оздоровления Камчатского края</t>
  </si>
  <si>
    <t>6.5.</t>
  </si>
  <si>
    <t>6.8.</t>
  </si>
  <si>
    <t>Ответст-венный испол-нитель
(ИОГВ/
Ф.И.О.)</t>
  </si>
  <si>
    <t>Ожидае-мый результат реали-зации мероприя-тия</t>
  </si>
  <si>
    <t>Оказание социальной поддержки спортсменам и их тренерам</t>
  </si>
  <si>
    <t>Мероприятие 2.1.7 Присвоение спортивных разрядов в соответствии с законом Камчатского края  от 14.11.2011 № 674 "О наделении органов местного самоуправления муниципальных образований в Камчатском крае" отдельными государственными полномочиями Камчатского края по присвоению спортивных разрядов"</t>
  </si>
  <si>
    <t>Улучшение материально технической базы</t>
  </si>
  <si>
    <t>краевой бюджет в т.ч</t>
  </si>
  <si>
    <t>1110999</t>
  </si>
  <si>
    <t>1124023</t>
  </si>
  <si>
    <t>за счет средств краевого бюджета в том числе</t>
  </si>
  <si>
    <t>1121014</t>
  </si>
  <si>
    <t xml:space="preserve">за счет средств краевого бюджета </t>
  </si>
  <si>
    <t>1160999</t>
  </si>
  <si>
    <t>1164006</t>
  </si>
  <si>
    <t>111</t>
  </si>
  <si>
    <t>112</t>
  </si>
  <si>
    <t>114</t>
  </si>
  <si>
    <t>Мероприятие 4.1.7 Горнолыжный комплекс "Оленгенде", расположенный в с. Эссо Быстринского района Камчатского края (строительство)</t>
  </si>
  <si>
    <t xml:space="preserve">Мероприятие 4.1.4 Реконструкция муниципальных  спортивных залов, находящихся в муниципальных образованиях в Камчатском крае              
</t>
  </si>
  <si>
    <t xml:space="preserve">Мероприятие 4.1.1. Строительство  (реконструкция) футбольных   полей в в муниципальных образованиях в Камчатском крае              
</t>
  </si>
  <si>
    <t>4.4.</t>
  </si>
  <si>
    <t>Основное мероприятие 2.3. Укрепление кадрового потенциала в сфере физической культуры и спорта</t>
  </si>
  <si>
    <t>Мероприятие 4.4.2. Приобретение и монтаж временных некапитальных спортивных сооружений</t>
  </si>
  <si>
    <t>Создание условий для занятия физической культурой и спортом для населения Камчатского края</t>
  </si>
  <si>
    <t xml:space="preserve">Мероприятие 4.3.10 Строительство здания горнолыжной базы "Красная сопка" в г. Петропавловске-Камчатском
</t>
  </si>
  <si>
    <t>5.5</t>
  </si>
  <si>
    <t xml:space="preserve">Мероприятие 4.3.11 Горнолыжная база "Эдельвейс" в г. Петропавловске-Камчатском (государственная экспертиза проектной документации) 
</t>
  </si>
  <si>
    <t>Мероприятия по улучшению инфраструктуры сферы государственной молодежной политики</t>
  </si>
  <si>
    <t>"Приложение № 5                                                                                                                                                                                                                                                                                                                                                            к Государственной программе Камчатского края "Физическая культура, спорт, молодежная политика,  отдых и оздоровление детей в Камчатском крае на 2014 – 2018 годы"</t>
  </si>
  <si>
    <t>Государственная программа Камчатского края "Физическая культура, спорт, молодежная политика,  отдых и оздоровление детей в Камчатском крае на 2014 – 2018 годы"</t>
  </si>
  <si>
    <t xml:space="preserve">Кроме того, планируемые объемы обязательств федерального бюджета </t>
  </si>
  <si>
    <t>Кроме того, планируемые объемы обязательств федерального бюджета</t>
  </si>
  <si>
    <t>Подпрограмма 1 "Развитие массовой физической культуры и  спорта в Камчатском крае"</t>
  </si>
  <si>
    <t xml:space="preserve">Мероприятия по вовлечению населения в занятия физической культурой и массовым спортом </t>
  </si>
  <si>
    <t xml:space="preserve">Физическое воспитание и обеспечение организации и проведения физкультурных мероприятий и массовых спортивных мероприятий </t>
  </si>
  <si>
    <t xml:space="preserve">Совершенствование материально-технической базы для занятий физической культурой и массовым спортом </t>
  </si>
  <si>
    <t xml:space="preserve">Обеспечение спортивной подготовки   спортсменов высокого класса и спортивного резерва </t>
  </si>
  <si>
    <t xml:space="preserve">Укрепление кадрового потенциала в сфере физической культуры и спорта </t>
  </si>
  <si>
    <t xml:space="preserve">Проектирование, строительство, реконструкция и модернизация  спортивных объектов для занятий физической культурой и массовым спортом </t>
  </si>
  <si>
    <t xml:space="preserve">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</si>
  <si>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Подпрограмма 5 "Молодежь Камчатки"</t>
  </si>
  <si>
    <t>5.3.</t>
  </si>
  <si>
    <t>Мероприятия по улучшению инфраструктуры и материально-технической базы загородных оздоровительных лагерей, созданию новых зон отдыха</t>
  </si>
  <si>
    <t xml:space="preserve">                    ".</t>
  </si>
  <si>
    <t>Подпрограмма   4  "Развитие  инфраструктуры для занятий физической культурой и спортом"</t>
  </si>
  <si>
    <t>за счет средств внебюджетных источников</t>
  </si>
  <si>
    <t>Обеспечение функционирования Министерства спорта и молодежной политики в Камчатском крае</t>
  </si>
  <si>
    <t xml:space="preserve">Мероприятие 4.2.3 Строительство  физкультурно-оздоровительного комплекса в п. Оссора (в том числе проектные работы)
</t>
  </si>
  <si>
    <t xml:space="preserve">Мероприятие 4.3.1 Реконструкция инфраструктуры лыжного и горнолыжного комплексов Камчатского края. 1-я очередь горнолыжная база "Морозная", г. Елизово. 1-й этап. Строительство 4-х местной скоростной кресельной канатной дороги и системы искусственного оснежения трасс горнолыжной базы «Морозная» 
</t>
  </si>
  <si>
    <t xml:space="preserve">Мероприятие 4.3.6 Стадион "Спартак" в г. Петропавловск-Камчатский ( в том числе проектные работы)
</t>
  </si>
  <si>
    <t xml:space="preserve">Мероприятие 4.3.7 Создание инфраструктуры для занятий сноубордом и фристайлом, горнолыжная база "Кирпичики", г. Петропавловск-Камчатский (в том числе проектные работы)
</t>
  </si>
  <si>
    <t>ЦСР (необходимо убрать колонку)</t>
  </si>
  <si>
    <t xml:space="preserve">Мероприятие 4.1.2 Строительство (реконструкция) спортивных площадок для занятий ледовыми видами   спорта в муниципальных образованиях в Камчатском крае              
</t>
  </si>
  <si>
    <t xml:space="preserve">Мероприятие 4.2.1 Строительство физкультурно-оздоровительного комплекса в с. Мильково, Камчатский край,   с. Мильково         
</t>
  </si>
  <si>
    <t>Создание условий для проведения спортивных соревнований</t>
  </si>
  <si>
    <t xml:space="preserve">Мероприятие 1.1.1 Организация пропаганды здорового образа жизни, популяризация физической культуры и массового спорта, а также спортивного стиля жизни через средства массовой информации (телевидение, радио), создание и размещение теле-, радио рекламных роликов с информацией о проводимых физкультурных и спортивных мероприятий, распространение печатной рекламы, изготовление и размещение информационных плакатов, баннеров </t>
  </si>
  <si>
    <t>Улучшение материально-технической базы муниципальных учреждений</t>
  </si>
  <si>
    <t xml:space="preserve">  </t>
  </si>
  <si>
    <t xml:space="preserve">Мероприятие 4.4.3. Обследование здания стадиона "Водник" в г. Петропавловске-Камчатском </t>
  </si>
  <si>
    <t xml:space="preserve">Министерство строительства Камчатского края </t>
  </si>
  <si>
    <t>Мероприятие 4.4.4.Снос и демонтаж сооружения  стадиона "Водник" в г. Петропавловске-Камчатском</t>
  </si>
  <si>
    <t xml:space="preserve">Финансовое обеспечение реализации Государственной программы Камчатского края "Физическая культура, спорт, молодежная политика,  отдых и оздоровление детей в Камчатском крае                                                                                                                  на 2014 – 2018 годы" 
</t>
  </si>
  <si>
    <t xml:space="preserve">Приобретение и монтаж временных некапитальных спортивных сооружений,  капитальный ремонт, обследование, снос и демонтаж  спортивных объектов </t>
  </si>
  <si>
    <t xml:space="preserve">Контрольное событие программы 1.1 "Проведена открытая Всероссийская массовая лыжная гонка "Лыжня России"                                                   </t>
  </si>
  <si>
    <t xml:space="preserve">Контрольное событие программы 1.2 "Проведен Всероссийский день бега "Кросс нации"         </t>
  </si>
  <si>
    <t>075</t>
  </si>
  <si>
    <t>076</t>
  </si>
  <si>
    <t>073</t>
  </si>
  <si>
    <t xml:space="preserve">Всего: государственная программа "Физическая культура, спорт, молодежная политика,  отдых и оздоровление детей в Камчатском крае " </t>
  </si>
  <si>
    <t>Подпрограмма 6 "Организация отдыха, оздоровления и занятости детей и молодежи в Камчатском крае"</t>
  </si>
  <si>
    <t>Государственная программа Камчатского края "Физическая культура, спорт, молодежная политика,  отдых и оздоровление детей в Камчатском крае"</t>
  </si>
  <si>
    <t xml:space="preserve">Министерство спорта  Камчатского края </t>
  </si>
  <si>
    <t>Министерство спорта  Камчатского края / Лазебная О.В.</t>
  </si>
  <si>
    <t>Министерство спорта  Камчатского края</t>
  </si>
  <si>
    <t>Министерство спорта Камчатского края /Попова Л.Н.</t>
  </si>
  <si>
    <t>Министерство спорта  Камчатского края/Попова Л.Н.</t>
  </si>
  <si>
    <t>Министерство спорта  Камчатского края/ Попова Л.Н.</t>
  </si>
  <si>
    <t>Министерство образования и молодежной политики Камчатского края, Пивняк С.А.</t>
  </si>
  <si>
    <t>Министерство спорта  Камчатского края, Попова Л.Н.</t>
  </si>
  <si>
    <t>071</t>
  </si>
  <si>
    <t>072</t>
  </si>
  <si>
    <t>074</t>
  </si>
  <si>
    <t xml:space="preserve">Министерство спорта  Камчатского края/ Дзенис Н.Ю. </t>
  </si>
  <si>
    <t>Министерство спорта  Камчатского края/ Попова Л.Н., Дзенис Н.Ю.</t>
  </si>
  <si>
    <t xml:space="preserve">Министерство спорта Камчатского края /Дзенис Н.Ю. </t>
  </si>
  <si>
    <t>Министерство спорта Камчатского края/ Лазебная О.В.</t>
  </si>
  <si>
    <t>Министерство спорта  Камчатского края/Дзенис Н.Ю.</t>
  </si>
  <si>
    <t xml:space="preserve">Мероприятие 2.2.6. «Обеспечение проведения независимой оценки качества  оказания услуг учреждениями сферы физической культуры и спорта»  </t>
  </si>
  <si>
    <t>2018</t>
  </si>
  <si>
    <t>Мероприятие 1.2.1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«Кросс Нации», «Лыжня России», физкультурно-спортивная акция «Камчатка в Движении» в том числе, среди учащихся и студентов, включая региональный этап Всероссийских спортивных соревнований школьников "Президентские состязания", "Президентские спортивные игры", региональные этапы всероссийских соревнований по футболу «Кожаный мяч», по хоккею «Золотая шайба», в рамках общероссийского проекта - «Мини-футбол в школу», «Мини-футбол в ВУЗы», Спартакиаду молодежи Камчатского края, и другие. Командирование спортивных команд муниципальных районов на краевые финалы, победителей региональных этапов на этапы ДВФО и всероссийские финалы</t>
  </si>
  <si>
    <t>Мероприятие 1.2.2. Мероприятия в области физической культуры и спорта, предоставление субсидий социально-ореинтированным некомерческим организациям, физкультурно-спортивным организациям, включая реализацию наказов  депутатов Законодательного собрания Камчатского края к избирателям»</t>
  </si>
  <si>
    <t>Мероприятие 2.1.2 Обеспечение участия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тренировочных мероприятиях и направление спортсменов – членов спортивных сборных команд Российской Федерации по видам спорта» на  углубленное медицинское обследование, лечение, реабилитацию</t>
  </si>
  <si>
    <t>Обеспечение участия членов спортивных сборных команд</t>
  </si>
  <si>
    <t xml:space="preserve">Мероприятие 2.1.6 Дополнительная поддержка и стимулирование спортсменов и специалистов сферы физической культуры и спорта за достижение высоких результатов в спортивной деятельности. Подготовка и проведение торжественных мероприятий и награждение лучших спортсменов, тренеров, представителей спортивных федераций по видам спорта и других лиц, внесших значительный вклад в развитие сферы физической культуры и спорта
</t>
  </si>
  <si>
    <t>Мероприятие 2.2.4 «Оказние адресной финансовой поддержки спортивным организациям, осуществляющих подготовку спортивного резерва для сборных команд Российской Федерации по базовым видам спорта»</t>
  </si>
  <si>
    <t>Мероприятие . 2.1.8 «Антидопинговое обеспечение спортивных сборных команд Камчатского края. Проведение образовательных антидопинговых мероприятий»</t>
  </si>
  <si>
    <t xml:space="preserve">Мероприятие 4.1.3 Капитальное строительство и реконструкция муниципальных лыжных баз и трасс, биатлонных комплексов  в муниципальных образованиях в Камчатском крае            
</t>
  </si>
  <si>
    <t xml:space="preserve">Мероприятие 4.1.6 Строительство, реконструкция и приобретение  малобюджетных  физкультурно-спортивных объектов  в шаговой доступности  в муниципальных образованиях в Камчатском крае            
</t>
  </si>
  <si>
    <t>Мероприятие 4.2.12 Физкультурно-оздоровительный комплекс с плавательным бассейном в г. Петропавловске - Камчатском (в том числе проектные работы)</t>
  </si>
  <si>
    <t xml:space="preserve">Министерство спорта Камчатского края </t>
  </si>
  <si>
    <t>Мероприятие 4.3.2 Реконструкция инфраструктуры лыжного и горнолыжного комплексов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t>
  </si>
  <si>
    <t>август 2018</t>
  </si>
  <si>
    <t>Министерство спорта  Камчатского края / Глубокая Н.В.</t>
  </si>
  <si>
    <t>Мероприятие 4.3.14 Реконструкция инфраструктуры лыжного и горнолыжного комплексов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(кресельного либо гондольного типа) и буксировочных канатных дорог (проектные работы).</t>
  </si>
  <si>
    <t>декабрь 2018</t>
  </si>
  <si>
    <t xml:space="preserve">Мероприятие 4.3.5 Строительство  физкультурно-оздоровительного комплекса с плавательным бассейном, г. Петропавловск-Камчатский, ул. Ленинградская, 120 А.            (проектные работы)
</t>
  </si>
  <si>
    <t xml:space="preserve">Мероприятие 2.2.3 Совершенствование  материально-технической базы краевых государственных учреждений  сферы  физической культуры и спорта  (оснащение инвентарем и оборудованием; приобретение снегоуплотнительной техники с навесным оборудованием, снегоходов для подготовки лыжных,  горнолыжных и сноубордических  трасс, автобусов и других транспортных средств, в том числе автомобилей высокой проходимости) </t>
  </si>
  <si>
    <t xml:space="preserve">Мероприятие 2.3.1  Повышение квалификации и профессиональная переподготовка специалистов в сфере физической культуры и спорта, работников краевых государственных  учреждений; проведение региональных, межрегиональных семинар-совещаний, конференций                                           </t>
  </si>
  <si>
    <t xml:space="preserve">Мероприятие 2.3.5  "Поощрение специалистов сферы физической культуры и спорта ведомственными наградами  Министерства спорта Камчатского края, Миниситерства спорта Российской Федерации (приобретение наградной атрибутики)                </t>
  </si>
  <si>
    <t>февраль 2018</t>
  </si>
  <si>
    <t>сентябрь 2018</t>
  </si>
  <si>
    <t>Детальный план-график реализации государственной программы Камчатского края " Физическая культура, спорт, молодежная политика, отдых и оздоровление детей в Камчатском крае" на 2018 год и плановый период 2019-2020 годов</t>
  </si>
  <si>
    <t>Мероприятие 4.2.13 Ледовый каток "Вулкан"  в г. Петропавловске - Камчатском (в том числе проектные работы)</t>
  </si>
  <si>
    <t>Министерство спорта  Камчатского края /Глубокая Н.В.</t>
  </si>
  <si>
    <t>2.4.</t>
  </si>
  <si>
    <t>Основное мероприятие 2.4. «Оказание адресной финансовой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</si>
  <si>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мероприятие 2.4.1  «Проведение тренировочных мероприятий по базовым олимпийским, паралимпийским и сурдлимпийским видам спорта, обеспечения питания и проживания спортсменов при проведении первенств Росси, повышение квалификации и переподготовка специалистов в сфере физической культуры и спорта, приобретение спортивно-технологического оборудования, инвентаря и экипировки»</t>
  </si>
  <si>
    <t>Министерство спорта Камчатского края</t>
  </si>
  <si>
    <t>Министерство образования и молодежной политики Камчатского края / Великанова О.Н.</t>
  </si>
  <si>
    <t xml:space="preserve"> апрель 2018</t>
  </si>
  <si>
    <t>октябрь 2018</t>
  </si>
  <si>
    <t xml:space="preserve">январь 2018 </t>
  </si>
  <si>
    <t xml:space="preserve"> Министерство спорта  Камчатского края / Лазебная О.В.</t>
  </si>
  <si>
    <t xml:space="preserve"> январь 2018</t>
  </si>
  <si>
    <t xml:space="preserve"> Мероприятие 1.2.3. Сертификация объектов спорта краевых государственных учреждений спортивной направленности</t>
  </si>
  <si>
    <t>Мероприятия 1.2.4. по подготовке и проведению Всероссийского физкультурно-спортивного комплекса "Готов к труду и обороне" (ГТО)</t>
  </si>
  <si>
    <t>Контрольное событие программы 2.2"Направлено спортсменов – членов спортивных сборных команд Российской Федерации по видам спорта на  углубленное медицинское обследование (не менее 10 человек)"</t>
  </si>
  <si>
    <t xml:space="preserve">Контрольное событие программы 2.1"Обеспечено участие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(не менее 700 человек)"   </t>
  </si>
  <si>
    <t xml:space="preserve"> Контрольное событие программы 2.3: Предоставлены субсидии подведомствен-ным краевым государственным учрежде-ниям на оснащение  спортивным инвента-рем  и оборудованием; приобретение  сне-гоходов, снегоуплотнительной и специаль-ной техники  для подготовки мест прове-дения тренировочных занятий; автобусов и других транспортных средств, в том числе автомобилей  высокой проходимости (при-обретение снег уплотнительной техники  КГАУ СДЮСШОР «Морозная»; спор-тивного инвентаря  КГАУДО СДЮСШОР по ЗВC и КГБУДО ДЮСШ "Палана</t>
  </si>
  <si>
    <t>Основное мероприятие 3.1. Обеспечение функционирования Министерства</t>
  </si>
  <si>
    <t>Мероприятие 4.2.14 Стадион "Спартак" в г. Петропавловск-Камчатский ( в том числе проектные работы)</t>
  </si>
  <si>
    <t>июль 2018</t>
  </si>
  <si>
    <t>Контрольное событие программы 4.2.12: Разработана проектная документация по объекту «Физкультурно-оздоровительный комплекс с плавательным бассейном в г. Петропавловске - Камчатском»</t>
  </si>
  <si>
    <t xml:space="preserve"> Мероприятие 4.4.5. Строительство  физкультурно-оздоровительного комплекса с плавательным бассейном, г. Петропавловск-Камчатский, ул. Ленинградская, 120 А. 1 этап. Подготовка территории строительства. Демонтаж существующих зданий.</t>
  </si>
  <si>
    <t>Контрольное событие  4.3.5. Заключение  государственного  контракта на проектные работы  по строительству  физкультурно-оздоровительного комплекса с плаватель-ным бассейном, г. Петропавловск-Камчатский, ул. Ленинградская, 120А (проектные работы)</t>
  </si>
  <si>
    <t xml:space="preserve">Основное мероприятие 4.4  Приобретение и монтаж временных некапитальных спортивных сооружений,  капитальный ремонт, обследование, снос и демонтаж  спортивных объектов </t>
  </si>
  <si>
    <t>5.1 Вовлечение молодежи в социальную практику и её информирование о потенциальных возможностях развития</t>
  </si>
  <si>
    <t>5.1.1 Информационное обеспечение молодежи</t>
  </si>
  <si>
    <t>5.1.2 Организация и проведение конкурса проектов и программ Молодежного Правительства Камчатского края, реализация лучших проектов</t>
  </si>
  <si>
    <t>5.1.3 Cодействие развитию волонтерского движения в Камчатском крае</t>
  </si>
  <si>
    <t>5.1.4  Организация и проведение информационно-пропагандистской акции "День борьбы со СПИДом"</t>
  </si>
  <si>
    <t>5.1.5 Проведение краевого туристского слета для  студентов образовательных учреждений высшего и профессионального образования в Камчатском крае</t>
  </si>
  <si>
    <t xml:space="preserve">5.1.6 Организация и проведение праздника, посвященного Дню Российской молодежи              </t>
  </si>
  <si>
    <t>5.1.7 Организация и проведение конкурса проектов и программ  детских, студенческих и молодежных организаций в Камчатском крае, направленных на вовлечение молодых людей, оказавшихся в трудной жизненной ситуации, в общественную, социально-экономическую и культурную жизнь и улучшение их положения в обществе, реализация лучших проектов</t>
  </si>
  <si>
    <t>5.1.8 Организация работы "Региональной  школы инструкторов туризма"</t>
  </si>
  <si>
    <t>5.1.9 Организация и проведение выставки молодежных проектов "Инициатива"</t>
  </si>
  <si>
    <t>5.1.10  Организация и проведение «Школы успешной молодежи» (ШУМ)</t>
  </si>
  <si>
    <t>5.1.11 Частичная компенсация оплаты стоимости обучения студентам  образовательных учреждений высшего и среднего профессионального образования в Камчатском крае</t>
  </si>
  <si>
    <t>5.1.12 Организация и проведения регионального этапа Всероссийского конкурса «Молодой предприниматель России»</t>
  </si>
  <si>
    <t>5.1.13  Организация и проведения регионального этапа конкурса профессионального мастерства «Премия Траектория»</t>
  </si>
  <si>
    <t>5.1.14 Организация и проведения регионального этапа конкурса «Лучший специалист в сфере государственной молодежной политики»</t>
  </si>
  <si>
    <t>Основное мероприяти 5.2  Создание условий для интеллектуального, творческого развития молодежи, реализации ее научно-технического и творческого потенциала</t>
  </si>
  <si>
    <t>апрель 2018</t>
  </si>
  <si>
    <t>5.2.1 Организация и проведение конкурса проектов и программ общественных организаций в Камчатском крае по поддержке талантливой молодежи, реализация лучших проектов</t>
  </si>
  <si>
    <t>5.2.2 Организация и проведение конкурса проектов и программ по поддержке и развитию художественного творчества молодежи в Камчатском крае, реализация лучших проектов</t>
  </si>
  <si>
    <t>5.2.3 Организация и проведение конкурса-фестиваля "Студенческая весна Камчатки"</t>
  </si>
  <si>
    <t>5.2.4 Организация и проведение российского Дня Студента – краевого конкурса "Мисс и Мистер Студенчество Камчатки"</t>
  </si>
  <si>
    <t>5.2.5 Организация и проведение конкурса-фестиваля команд КВН в муниципальных образовательных учреждениях в Камчатском крае</t>
  </si>
  <si>
    <t>5.2.6 Организация и проведение регионального форума рабочей молодежи</t>
  </si>
  <si>
    <t xml:space="preserve">5.2.7 Организация и проведение регионального форума добровольцев </t>
  </si>
  <si>
    <t>5.2.8 Организация Молодежного десанта Камчатского края</t>
  </si>
  <si>
    <t>5.2.9  Организация и проведение регионального этапа конкурса профессионального мастерства «Делай как Я»</t>
  </si>
  <si>
    <t>5.2.10 Организация и проведение краевого конкурса  научно-технического творчества молодежи  "Шаг в будущее"</t>
  </si>
  <si>
    <t>5.2.11 Организация и проведение регионального этапа Всероссийского конкурса "Доброволец России"</t>
  </si>
  <si>
    <t>5.2.12 Организация и проведение конкурса проектов и программ общественных объединений по развитию массовой физкультуры и спорта в Камчатском крае, реализация лучших проектов</t>
  </si>
  <si>
    <t>5.2.13 Проведение рок-фестивалей</t>
  </si>
  <si>
    <t>5.2.14 Мероприятия для детей и молодежи</t>
  </si>
  <si>
    <t xml:space="preserve">5.2.15  Закон № 18 "О наградах и премиях" </t>
  </si>
  <si>
    <t>январь 2018</t>
  </si>
  <si>
    <t>Основное мероприятие 5.3 Укрепление института молодой семьи</t>
  </si>
  <si>
    <t>5.3.1  Организация и проведение регионального этапа Всероссийского форума молодых семей</t>
  </si>
  <si>
    <t>Основное мероприяти 5.4 .Обеспечение деятельности учреждений сферы молодежной политики</t>
  </si>
  <si>
    <t>5.4.1 Обеспечение деятельности КГКУ «Центр детско-молодежного творчества «Школьные годы»</t>
  </si>
  <si>
    <t>5.4.2 Обеспечение деятельности КГКУ «Камчатский центр реализации молодежных программ»</t>
  </si>
  <si>
    <t xml:space="preserve">5.4.3 Финансовое обеспечение государственного задания КГАУ «Дворец Молодежи» </t>
  </si>
  <si>
    <t>Основное мероприятие 5.5 Мероприятия по улучшению инфраструктуры сферы государственной молодежной политики</t>
  </si>
  <si>
    <t>5.5.1  Капитальный ремонт и обследование  здания ГДО по ул.Атласова, д.24, г.Петропавловск-Камчатский</t>
  </si>
  <si>
    <t>июнь 2018</t>
  </si>
  <si>
    <t>Основное мероприятие 6.1. Координация и организация проведения оздоровительной кампании в Камчатском крае</t>
  </si>
  <si>
    <t>6.1.1 Проведение заседаний межведомственной комиссии по организации круглогодичного отдыха, оздоровления и обеспечения занятости детей и молодежи Камчатского края (по отдельному плану)</t>
  </si>
  <si>
    <t>6.1.2 Приобретение формы для оборонно-спортивных лагерей Камчатского края</t>
  </si>
  <si>
    <t>6.2.1 Предоставление субсидий из краевого бюджета юридическим лицам - загородным стационарным детским лагерям, расположенным на территории Камчатского края, в целях финансового обеспечения  затрат в связи с предоставлением ими услуг по обеспечению отдыха и оздоровления детей</t>
  </si>
  <si>
    <t>6.2.2  Предоставление родителям или иным законным представителям ребенка частичной компенсации расходов, связанных с приобретением путевок в загородные стационарные детские оздоровительные лагеря, расположенные за пределами Камчатского края, на территории других субъектов Российской Федерации</t>
  </si>
  <si>
    <t>6.2.3 Предоставление из краевого бюджета субсидий местным бюджетам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t>
  </si>
  <si>
    <t>6.2.4 Организация работы трудовых лагерей</t>
  </si>
  <si>
    <t>Основное мероприятие 6.2. Мероприятия по повышению качества услуг, предоставляемых организациями отдыха детей и их оздоровления</t>
  </si>
  <si>
    <t>6.2.5 Подготовка и обеспечение организации отдыха детей, проживающих в Камчатском крае, и их  оздоровления в специализированных (профильных) оздоровительных лагерях в Камчатском крае и за его пределами, в том числе оплата расходов (путёвок, проезда к месту отдыха детей и обратно, питания и проживания) детей и сопровождающих их лиц</t>
  </si>
  <si>
    <t>6.2.6 Организация и проведение:
- фестиваля детского творчества «Камчатские каникулы» среди детей, находящихся в загородных стационарных детских оздоровительных лагерях в Камчатском крае;
- конкурса среди педагогических отрядов загородных стационарных детских оздоровительных лагерей в Камчатском крае</t>
  </si>
  <si>
    <t>6.2.8 Организация и проведение спартакиады среди детей, находящихся в загородных стационарных детских оздоровительных лагерях в  Камчатском крае</t>
  </si>
  <si>
    <t>6.2.9 Организация и проведение межлагерных мероприятий для загородных стационарных детских оздоровительных лагерей Камчатского края (1 смена)</t>
  </si>
  <si>
    <t>6.2.10 Финансовое обеспечение государственного задания КГБУ "Камчатский центр развития детского отдыха"</t>
  </si>
  <si>
    <t>6.2.11 Финансовое обеспечение социальных гарантий работникам КГБУ "Камчатский центр развития детского отдыха", в части компенсации расходов на оплату стоимости проезда и провоза багажа к месту использования отпуска и обратно, расходов связанных с выездом из РКС"</t>
  </si>
  <si>
    <t xml:space="preserve"> Основное мероприятия 6.3 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</si>
  <si>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6.3.1 Организация отдыха и оздоровления отдельных категорий детей, находящихся в трудной жизненной ситуации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</si>
  <si>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6.3.2 Организация отдыха и оздоровления детей-сирот и детей, оставшихся без попечения родителей, в загородных лагерях, санаториях Камчатского края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 включая сопровождающих их лиц</t>
  </si>
  <si>
    <t>май 2018</t>
  </si>
  <si>
    <t>6.3.3 Организация авиаперевозок воспитанников интернатных учреждений Камчатского края, направленных на отдых и оздоровление в загородные стационарные детские оздоровительные лагеря в Камчатском крае</t>
  </si>
  <si>
    <t>6.3.4 Организация авиаперевозок детей-сирот  и детей, оставшихся без попечения родителей, направленных на отдых и оздоровление в загородные стационарные детские оздоровительные лагеря и лагеря санаторного типа за пределы Камчатского края</t>
  </si>
  <si>
    <t xml:space="preserve">6.3.5   Организация и обеспечение отдыха и оздоровления детей, находящихся в трудной жизненной ситуации, в лагерях дневного пребывания, созданных на базе организаций социального обслуживания  Камчатского края ( в том числе оплата услуг, приобретение спортивного и игрового оборудования, материальных запасов, призов и подарков) </t>
  </si>
  <si>
    <t>6.3.6 Предоставления из краевого бюджета субсидий некоммерческим организациям – военно-спортивным центрам, спортивным клубам в Камчатском крае, уставная деятельность которых связана с организацией  отдыха, оздоровления и патриотическим воспитанием детей и молодежи</t>
  </si>
  <si>
    <t>Основное мероприятие 6.4 Мероприятия по созданию условий для обеспечения безопасного пребывания детей и подростков в учреждениях отдыха и оздоровления Камчатского края</t>
  </si>
  <si>
    <t>март 2018</t>
  </si>
  <si>
    <t>6.4.1 Обеспечение проведения профилактических осмотров персонала, направляемого для работы в оздоровительные учреждения в Камчатском крае, а также медицинского осмотра несовершеннолетних при оформлении временной занятости в летний период без взимания платы</t>
  </si>
  <si>
    <t>Основное мероприятие 6.5 Страхование детей и подростков во время их пребывания в организациях отдыха и оздоровления, а также во время их проезда к месту отдыха и обратно</t>
  </si>
  <si>
    <t>6.5.1 Организация страхования детей на период их пребывания в лагерях дневного пребывания, созданных на базе образовательных учреждений в Камчатском крае</t>
  </si>
  <si>
    <t>6.5.2.  Организация страхования детей, оздоравливающихся в профильных (специализированных) лагерях,  а также во время их проезда к месту отдыха и обратно</t>
  </si>
  <si>
    <t>6.5.3. Организация страхования детей на период их пребывания в  лагерях дневного пребывания, созданных на базе организаций социального обслуживания Камчатского края, а также во время проезда детей, находящихся в трудной жизненной ситуации, к месту отдыха в загородные стационарные оздоровительные лагеря Камчатского края и обратно</t>
  </si>
  <si>
    <t>Основное мероприятие 6.6. Мероприятия по улучшению инфраструктуры и материально-технической базы загородных оздоровительных лагеря, созданию новых зон отдыха</t>
  </si>
  <si>
    <t>5.4.4 Финансовое обеспечение приобретения дорогостоящих, особо значимых, особо ценных основных средств, проведения текущего, капитального ремонта имущества и благоустройство территории подведомственных организаций, обеспечение деятельности учреждений сферы молодежной политики</t>
  </si>
  <si>
    <t>5.4.5 Финансовое обеспечение приобретения материальных ценностей (за исключением особо ценного, особо значимого имущества), работ, услуг подведомственных организаций в рамках реализации значимых мероприятий</t>
  </si>
  <si>
    <t>6.6.1 Бюджетные инвестиции в форме капитальных вложений в основные средства казенного предприятия Камчатского края "Единая дирекция по строительству" на реконструкцию и строительство зданий и сооружений, расположенных по адресу: Елизовский район, с. Паратунка, район оз. Глухое"</t>
  </si>
  <si>
    <t>6.6.2.  Предоставление бюджетных инвестиций в форме капитальных вложений в основные средства ГУП Камчатского края "Камчатстройэнергосервис" на строительство, реконструкцию помещений в ДОЛ им. Ю. Гагарина (в т.ч. разработка  проектной документации)</t>
  </si>
  <si>
    <t>2020</t>
  </si>
  <si>
    <t>6.6.3. Укрепление материально-технической базы профильных спортивно-оздоровительных лагерей в Камчатском крае</t>
  </si>
  <si>
    <t xml:space="preserve">6.6.4. Государственные капитальные вложения в профильные спортивно-оздоровительные лагеря в Камчатском крае (в т.ч. разработка проектной документации) </t>
  </si>
  <si>
    <t>6.6.4.1 Строительство пищеблока в профильном спортивно-оздоровительном лагере «Товарищ» КГАОУ ДОД СДЮСШОР по зимним видам спорта</t>
  </si>
  <si>
    <t>6.6.4.2  Приобретение и монтаж жилых модулей в профильном спортивно-оздоровительном лагере «Авачинский» КГАОУ ДОД СДЮСШОР по горнолыжному спорту</t>
  </si>
  <si>
    <t xml:space="preserve">6.6.4.3. Инженерные сети (водоснабжение) и обустройство водозабора для пищеблока спортивно-оздоровительного лагеря «Товарищ» </t>
  </si>
  <si>
    <t>6.6.5. Приобретение, доставка и установка игровых комплексов ("малых игровых форм") для лагерей дневного пребывания, созданных на базе учреждений социального обслуживания</t>
  </si>
  <si>
    <t>Основное Мероприятие 6.7. Научно-методическое, кадровое и информационное обеспечение оздоровительной кампании детей в Камчатском крае</t>
  </si>
  <si>
    <t>6.7.1.  Проведение обучения педагогического состава и вожатых для работы в организациях отдыха детей и их оздоровления в Камчатском крае</t>
  </si>
  <si>
    <t xml:space="preserve">6.7.2. Подготовка сборников нормативных правовых и информационно-методических материалов по организации отдыха и оздоровления детей в Камчатском крае </t>
  </si>
  <si>
    <t>6.7.3. Освещение в средствах массовой информации Камчатского края хода реализации мероприятий по проведению оздоровительной кампании в Камчатском крае</t>
  </si>
  <si>
    <t>Основное мероприятие 6.8 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</si>
  <si>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6.8.1 Организация обучения специалистов, работающих в лагерях дневного пребывания, созданных на базе организаций социального обслуживания Камчатского края, для внедрения новых форм и технологий при оздоровлении детей</t>
  </si>
  <si>
    <t xml:space="preserve"> сентябрь 2018 года;                       III квартал 2019 года;                   III квартал 2020 года</t>
  </si>
  <si>
    <t>декабрь 2018 года;                   IV квартал 2019 года;                   IV квартал 2020 года</t>
  </si>
  <si>
    <t>2014</t>
  </si>
  <si>
    <t>февраль 2018 года; I квартал 2019 года; I квартал 2020 года</t>
  </si>
  <si>
    <t>апрель 2018 года;                       II квартал 2019 года;                   II квартал 2020 года</t>
  </si>
  <si>
    <t>2019</t>
  </si>
  <si>
    <t>Приложение к  приказу Министерства спорта Камчатского края                 от ____________№_________ «Об утверждении детального плана-графика реализации государственной программы Камчатского края " Физическая культура, спорт, молодежная политика, отдых и оздоровление детей в Камчатском крае" на 2018 год и плановый период 2019-2020 годов</t>
  </si>
  <si>
    <t>Мероприятие 2.2.5.  «Закупка спортивного оборудования для спортивных школ олимпийского резерва</t>
  </si>
  <si>
    <t xml:space="preserve">6.2.7 Организация и проведение мероприятий:  - "Лучшая тематическая смена в загородном стационарном детском оздоровительном лагере;   - "Лучшая  программа  отдыха детей и их оздоровления"                                                                                                                                  </t>
  </si>
  <si>
    <t xml:space="preserve">Мероприятие 4.3.2.1 Реконструкция инфраструктуры горнолыжного комплекса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 3 этап строительства.     
</t>
  </si>
  <si>
    <t>5.4.6   Финансовое обеспечение социальных гарантий работникам КГАУ «Дворец Молодежи», в части компенсаций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</si>
  <si>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5.4.7   Финансовое обеспечение государственного задания» КГБУ КК «Центр детско-молодежного творчества «Школьные годы</t>
  </si>
  <si>
    <t>5.4.8   Финансовое обеспечение социальных гарантий работникам, КГБУ КК «Центр детско-молодежного творчества «Школьные годы» в части компенсаций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</si>
  <si>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5.4.9   Финансовое обеспечение приобретения дорогостоящих, особо значимых, особо ценных основных средств, проведения текущего, капитального ремонта иму-щества и благоустройство территории подведомственных организаций, обес-печение деятельности учреждений сферы молодежной политики КГБУ КК «Центр детско-молодежного творчества «Школьные годы</t>
  </si>
  <si>
    <t>деабрь 2018; IV кв. 2019; IV кв. 2020</t>
  </si>
  <si>
    <t>Контрольное событие программы 2.4: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на повышение квалификации специалистов сферы физической культуры и спорта (не менее 10 человек - работники подведомственных краевых государственных учреждений и 6 человек - представители органов местного самоуправления муниципальных образований в Камчатском крае)</t>
  </si>
  <si>
    <t xml:space="preserve">апрель 2018 года             </t>
  </si>
  <si>
    <t xml:space="preserve">Контрольное событие программы 3.8.     Заключение контракта на строительство межшкольного стадиона в г. Петропавловск-Камчатский, Камчатский край </t>
  </si>
  <si>
    <t xml:space="preserve">Контрольное событие программы 3.17  Заключение контракта на  строительство стадиона "Спартак" в г. Петропавловск-Камчатском </t>
  </si>
  <si>
    <t>Контрольное событие программы 3.18: Заключение государственного контракта на строительство объекта «Региональный спортивно-тренировочный центр по зимним видам спорта у подножия вулкана «Авачинский», Камчатский край»</t>
  </si>
  <si>
    <t>Контрольное событие программы: 4.2.  Строительство физкультурно-оздоровительного комплекса с плавательным бассейном г. Петропавловск-Камчатский, ул. Ленин-градская,120 А. 1 этап.    Подготовка тер-ритории строительства. Демонтаж существующих зданий.</t>
  </si>
  <si>
    <t xml:space="preserve">Контрольное событие программы 4.1:                   Заключены соглашения с детскими и молодежными общественными объединениями - победителями конкурса проектов и программ по реализации проектов, направленных на реализацию государственной молодежной политики в Камчатском крае </t>
  </si>
  <si>
    <t>Контрольное событие программы 4.2: Обеспечено участие молодежи Камчатского края во всероссийской и межрегиональ-ной форумной кампании 2018 года</t>
  </si>
  <si>
    <t xml:space="preserve"> сентябрь 2018 </t>
  </si>
  <si>
    <t>Контрольное событие программы 4.3: Награждены победители краевого конкурса "Молодая семья" дипломами и памятными подарками</t>
  </si>
  <si>
    <t>ноябрь 2018</t>
  </si>
  <si>
    <t>Контрольное событие программы 4.4: Фор-мирование студенческих трудовых отрядов Камчатки (заключены договора с работо-дателями)</t>
  </si>
  <si>
    <t xml:space="preserve">  июнь 2018</t>
  </si>
  <si>
    <t>Контрольное событие программы 5.2.                         Организован отдых и оздоровление детей в загородных стационарных оздоровительных лагерях в Камчатском крае (5831 ребенок).</t>
  </si>
  <si>
    <t>Контрольное событие 5.6. Организована работа трудовых лагерей (на базе КГБУ Центр содействия развитию семейных форм устройства «Эчган» (10 детей)</t>
  </si>
  <si>
    <t>Контрольное событие 5.7.                                           Подготовлен и организован отдых детей, проживающих в Камчатском крае, и их оздоровление в специализированных (профильных) оздорови-тельных лагерях в Камчатском крае и за его пределами (2445 детей, в т.ч. летний период 2280 детей, в осенний – 165 детей)</t>
  </si>
  <si>
    <t>Контрольное событие 5.8.                                                Организован отдых и оздоровление детей-сирот и детей, оставшихся без попечения родителей, в загородных лагерях, санатория Камчатско-го края и за его пределами (87 детей)</t>
  </si>
  <si>
    <t>Контрольное событие программы 5.1.                       Организован отдых и оздоровление детей, нуждающихся в психолого-педагогическом и ином специальном сопровождении, в том числе детей и подростков, оказавшихся в трудной жизненной ситуации, в детских оздоровительных лагерях (1985 детей).</t>
  </si>
  <si>
    <t xml:space="preserve">Контрольное событие программы 5.3: Продолжение строительно-монтажных работ по строительству и реконструкции помещений в ДОЛ им. Ю. Гагарина, спальные корпуса В. Г. Д. (наружная и внутренняя отделка жилых корпусов и укладка асфаль-тобетонного покрытия на всей территории лагеря) </t>
  </si>
  <si>
    <t>декабрь                 2018</t>
  </si>
  <si>
    <t>6.2.12.</t>
  </si>
  <si>
    <t>Основное мероприятие 1.1 "Мероприятия по вовлечению населения в занятия физической культурой и массовым спортом"</t>
  </si>
  <si>
    <t>Совершенствование материально-технической базы для занятий физической культурой и массовым спортом</t>
  </si>
  <si>
    <t>Обеспечение спортивной подготовки спортсменов высокого класса и спортивного резерва</t>
  </si>
  <si>
    <t>Укрепление кадрового потенциала в сфере физической культуры и спорта</t>
  </si>
  <si>
    <t>Проектирование, строительство, реконструкция и модернизация спортивных объектов для занятий физической культурой и массовым спортом</t>
  </si>
  <si>
    <t>Проектирование, строительство, реконструкция и модернизация спортивных объектов для подготовки спортивного резерва и спортсменов высокого класса</t>
  </si>
  <si>
    <t>Приобретение и монтаж временных некапитальных спортивных сооружений, капитальный ремонт, обследование, снос и демонтаж спортивных объектов</t>
  </si>
  <si>
    <t xml:space="preserve">Основное мероприятие 4.1 Капитальный ремонт, строительство, реконструкция объектов спортивной инфраструктуры муниципальной собственности и приобретение малобюджетных физкультурно-спортивных объектов в шаговой доступности в муниципальных образованиях, имеющих региональное софинансирование            </t>
  </si>
  <si>
    <t>За счет средств краевого бюджета в том числе:</t>
  </si>
  <si>
    <t>"Физическая культура, спорт, молодежная политика,  отдых и оздоровление детей в Камчатском крае"</t>
  </si>
  <si>
    <t>Срок</t>
  </si>
  <si>
    <t>5.5.</t>
  </si>
  <si>
    <t>Наименование основного мероприятия</t>
  </si>
  <si>
    <t>Ответственный исполнитель</t>
  </si>
  <si>
    <t>начала реализации</t>
  </si>
  <si>
    <t>окончания реализации</t>
  </si>
  <si>
    <t>Ожидаемый непосредственный результат (краткое описание)</t>
  </si>
  <si>
    <t>Последствия не реализации основного мероприятия</t>
  </si>
  <si>
    <t>Связь с показателями Программы (подпрограммы)</t>
  </si>
  <si>
    <t>Приложение 2 к Программе</t>
  </si>
  <si>
    <t>Мероприятия по вовлечению населения в занятия физической культурой и массовым спортом</t>
  </si>
  <si>
    <t>Увеличение количества населения, систематически занимающегося физической культурой и спортом</t>
  </si>
  <si>
    <t>Снижение количества населения, систематически занимающегося физической культурой и спортом</t>
  </si>
  <si>
    <t>Физическое воспитание и обеспечение организации и проведения физкультурных мероприятий и массовых спортивных мероприятий</t>
  </si>
  <si>
    <t>Увеличение числа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Камчатского края</t>
  </si>
  <si>
    <t>Снижение числа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Камчатского края</t>
  </si>
  <si>
    <t>Показатель 1.2 таблицы приложения 1 к Программе</t>
  </si>
  <si>
    <t>Увеличение числа учащихся и студентов, систематически занимающихся физической культурой и спортом; увеличение числа лиц с ограниченными возможностями здоровья и инвалидов, систематически занимающихся физической культурой и спортом</t>
  </si>
  <si>
    <t>Снижение числа учащихся и студентов, систематически занимающихся физической культурой и спортом; снижение числа лиц с ограниченными возможностями здоровья и инвалидов, систематически занимающихся физической культурой и спортом</t>
  </si>
  <si>
    <t>Показатели 1.3, 1.4 таблицы приложения 1 к Программе</t>
  </si>
  <si>
    <t>Увеличение числа спортсменов, зачисленных в составы спортивных сборных команд Российской Федерации; увеличение числа занимающихся в организациях, осуществляющих спортивную подготовку, и зачисленных на этапы совершенствования спортивного мастерства и высшего спортивного мастерства</t>
  </si>
  <si>
    <t>Снижение числа спортсменов, зачисленных в составы спортивных сборных команд Российской Федерации; снижение числа занимающихся в организациях, осуществляющих спортивную подготовку, и зачисленных на этапы совершенствования спортивного мастерства и высшего спортивного мастерства</t>
  </si>
  <si>
    <t>Показатели 2.1, 2.2 таблицы приложения 1 к Программе</t>
  </si>
  <si>
    <t>Развитие учреждений сферы физической культуры и спорта</t>
  </si>
  <si>
    <t>Увеличение количества учащихся краевых государственных спортивных школ; увеличение числа детей и молодежи 6 - 15 лет, занимающихся в спортивных организациях; увеличение числа спортсменов-разрядников, занимающихся в системе специализированных детско-юношеских спортивных школ олимпийского резерва; увеличение числа спортсменов-разрядников, имеющих разряды и звания (от первого спортивного разряда до спортивного звания Заслуженный мастер спорта России")</t>
  </si>
  <si>
    <t>Снижение количества учащихся краевых государственных спортивных школ; снижение числа детей и молодежи 6 - 15 лет, занимающихся в спортивных организациях; снижение числа спортсменов-разрядников, занимающихся в системе специализированных детско-юношеских спортивных школ олимпийского резерва; снижение числа спортсменов-разрядников, имеющих разряды и звания (от первого спортивного разряда до спортивного звания "Заслуженный мастер спорта России"</t>
  </si>
  <si>
    <t>Показатели 2.3 - 2.6 таблицы приложения 1 к Программе</t>
  </si>
  <si>
    <t>Увеличение числа штатных специалистов в сфере физической культуры и спорта, успешно повысивших квалификацию или прошедших профессиональную переподготовку</t>
  </si>
  <si>
    <t>Снижение числа штатных специалистов в сфере физической культуры и спорта, успешно повысивших квалификацию или прошедших профессиональную переподготовку</t>
  </si>
  <si>
    <t>Показатель 2.7 таблицы приложения 1 к Программе</t>
  </si>
  <si>
    <t>Увеличение количества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t>
  </si>
  <si>
    <t>Снижение спортивных результатов и количества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t>
  </si>
  <si>
    <t>Показатели 2.2, 2.8 таблицы приложения 1 к Программе</t>
  </si>
  <si>
    <t>Обеспечение функционирования Министерства спорта Камчатского края</t>
  </si>
  <si>
    <t>Не предусмотрены</t>
  </si>
  <si>
    <t>Увеличение обеспеченности спортивными сооружениями населения, включая ввод в эксплуатацию малобюджетных физкультурно-спортивных объектов шаговой доступности (в том числе в образовательных организациях, реализующих основные общеобразовательные программы), а также плоскостных сооружений (в том числе по проектам, рекомендованным Министерством спорта Российской Федерации для повторного применения и (или) включенным в реестр типовой проектной документации, обеспечивающим, в частности, доступность этих объектов для лиц с ограниченными возможностями здоровья и инвалидов); увеличение единовременной пропускной способности объектов спорта, введенных в эксплуатацию в рамках Подпрограммы 4 в части совершенствования условий для развития массового спорта; повышение эффективности использования объектов спорта</t>
  </si>
  <si>
    <t>Уменьшение обеспеченности спортивными сооружениями населения, в том числе малобюджетными физкультурно-спортивными объектами шаговой доступности (в том числе в образовательных организациях, реализующих основные общеобразовательные программы), а также плоскостных сооружений (в том числе по проектам, рекомендованным Министерством спорта Российской Федерации для повторного применения и (или) включенным в реестр типовой проектной документации, обеспечивающим, в частности, доступность этих объектов для лиц с ограниченными возможностями здоровья и инвалидов); уменьшение единовременной пропускной способности объектов спорта, введенных в эксплуатацию в рамках Подпрограммы 4 в части совершенствования условий для развития массового спорта; снижение эффективности использования объектов спорта</t>
  </si>
  <si>
    <t>Показатели 4.1 - 4.3 таблицы приложения 1 к Программе</t>
  </si>
  <si>
    <t>Показатели 4.1, 4.3. таблицы приложения 1 к Программе</t>
  </si>
  <si>
    <t>Повышение эффективности использования объектов спорта</t>
  </si>
  <si>
    <t>Снижение эффективности использования объектов спорта</t>
  </si>
  <si>
    <t>Рост социальной активности молодежи, ее вклада в развитие основных сфер жизни и деятельности общества и государства</t>
  </si>
  <si>
    <t>Спад социальной активности молодежи, ее вклада в развитие основных сфер жизни и деятельности общества и государства</t>
  </si>
  <si>
    <t>Показатель 5.1 таблицы приложения 1 к Программе</t>
  </si>
  <si>
    <t>Рост интеллектуальной и творческой активности молодежи, ее вклада в развитие основных сфер жизни и деятельности общества и государства</t>
  </si>
  <si>
    <t>Спад интеллектуальной и творческой активности молодежи, ее вклада в развитие основных сфер жизни и деятельности общества и государства</t>
  </si>
  <si>
    <t>Показатель 5.2 таблицы приложения 1 к Программе</t>
  </si>
  <si>
    <t>Укрепление семейных ценностей в молодежной среде</t>
  </si>
  <si>
    <t>Равнодушие к семейным ценностям в молодежной среде</t>
  </si>
  <si>
    <t>Показатель 5.3 таблицы приложения 1 к Программе</t>
  </si>
  <si>
    <t>Рост социальной, деловой, творческой активности молодежи</t>
  </si>
  <si>
    <t>Снижение роста социальной, деловой, творческой активности молодежи</t>
  </si>
  <si>
    <t>Показатель пункт 5.4 таблицы приложения 1 к Программе</t>
  </si>
  <si>
    <t>Рост социально, деловой, творческой активности молодежи</t>
  </si>
  <si>
    <t>Обеспечение качественного отдыха и оздоровления детей и молодежи</t>
  </si>
  <si>
    <t>Низкий оздоровительный эффект при проведении мероприятий по отдыху и оздоровлению детей и молодежи</t>
  </si>
  <si>
    <t>Показатели 6.1, 6.3, 6.4 таблицы приложения 1 к Программе</t>
  </si>
  <si>
    <t>Показатель 6.2 таблицы приложения 1 к Программе</t>
  </si>
  <si>
    <t>Обеспечения качественного отдыха и оздоровления детей и молодежи</t>
  </si>
  <si>
    <t>Показатель 6.7 таблицы приложения 1 к Программе</t>
  </si>
  <si>
    <t>Показатель 6.8 таблицы приложения 1 к Программе</t>
  </si>
  <si>
    <t>Показатель 6.5 таблицы приложения 1 к Программе</t>
  </si>
  <si>
    <t>Показатель 6.9 таблицы приложения 1 к Программе</t>
  </si>
  <si>
    <t>Показатель 6.1 таблицы приложения 1 к Программе</t>
  </si>
  <si>
    <t>Наименование показателя</t>
  </si>
  <si>
    <t>Ед. изм.</t>
  </si>
  <si>
    <t>2014 базовое значение</t>
  </si>
  <si>
    <t>2015 отчетный период</t>
  </si>
  <si>
    <t>2016 текущий период</t>
  </si>
  <si>
    <t>Подпрограмма 1 «Развитие массовой физической культуры и спорта в Камчатском крае»</t>
  </si>
  <si>
    <t>Доля населения, систематически занимающегося физической культурой и спортом, в общей численности населения Камчатского края</t>
  </si>
  <si>
    <t>%</t>
  </si>
  <si>
    <t>Доля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Камчатского края, в общей численности учащихся и студентов</t>
  </si>
  <si>
    <t>Доля учащихся и студентов, систематически занимающихся физической культурой и спортом, в общей численности учащихся и студентов</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</si>
  <si>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Камчатского края</t>
  </si>
  <si>
    <t>Доля населения, занимающегося физической культурой и спортом по месту работы, в общей численности населения Камчатского края, занятого в экономике</t>
  </si>
  <si>
    <t>Доля средств краевого бюджета, выделяемых негосударственным организациям, в том числе социально ориентированным некоммерческим организациям, на предоставление услуг населению в сфере физической культуры и спорта, в общем объеме бюджетных средств, выделенных на предоставление услуг населению Камчатского края в сфере физической культуры и спорта</t>
  </si>
  <si>
    <t>Подпрограмма 2 «Развитие спорта высших достижений и системы подготовки спортивного резерва»</t>
  </si>
  <si>
    <t>Доля спортсменов, зачисленных в составы спортивных сборных команд Российской Федерации, в общем количестве спортсменов, занимающихся на этапах совершенствования спортивного мастерства и высшего спортивного мастерства</t>
  </si>
  <si>
    <t>Доля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t>
  </si>
  <si>
    <t>Количество учащихся краевых государственных спортивных школ</t>
  </si>
  <si>
    <t>чел</t>
  </si>
  <si>
    <t>Доля детей и молодежи в возрасте 6 - 15 лет, занимающихся в спортивных организациях, в общей численности детей и молодежи в возрасте 6 - 15 лет</t>
  </si>
  <si>
    <t>Доля спортсменов-разрядников в общем количестве лиц, занимающихся в системе специализированных детско-юношеских спортивных школ олимпийского резерва</t>
  </si>
  <si>
    <t>Доля спортсменов-разрядников, имеющих разряды и звания (от первого спортивного разряда до спортивного звания «Заслуженный мастер спорта России»), в общем количестве спортсменов-разрядников в системе специализированных детско-юношеских спортивных школ олимпийского резерва</t>
  </si>
  <si>
    <t>Доля специалистов в сфере физической культуры и спорта, успешно повысивших квалификацию или прошедших профессиональную переподготовку в рамках реализации Подпрограммы 2, в общей численности штатных работников сферы физической культуры и спорта</t>
  </si>
  <si>
    <t>2.8.</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</si>
  <si>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 инвалидов услуг населению Камчатского края в сфере физической культуры и спорта, в общем объеме бюджетных средств, выделенных на предоставление услуг населению Камчатского края в сфере физической культуры и спорта</t>
  </si>
  <si>
    <t>Подпрограмма 4 «Развитие инфраструктуры для занятий физической культурой и спортом»</t>
  </si>
  <si>
    <t>Уровень обеспеченности населения спортивными сооружениями исходя из единовременной пропускной способности объекта спорта</t>
  </si>
  <si>
    <t>Единовременная пропускная способность объектов спорта, введенных в эксплуатацию в рамках Подпрограммы 4 в части совершенствования условий для развития массового спорта</t>
  </si>
  <si>
    <t>человек</t>
  </si>
  <si>
    <t>Подпрограмма 5 «Молодежь Камчатки»</t>
  </si>
  <si>
    <t>Количество социальных молодежных проектов (программ), направленных на реализацию государственной молодежной политики в Камчатском крае, выполненных некоммерческими организациями</t>
  </si>
  <si>
    <t>Ед.</t>
  </si>
  <si>
    <t>Количество талантливой молодежи, получившей государственную поддержку</t>
  </si>
  <si>
    <t>Чел.</t>
  </si>
  <si>
    <t>Количество молодых семей, принявших участие в конкурсе «Молодая семья»</t>
  </si>
  <si>
    <t>Количество молодежи, принимающей участие в фестивалях, конкурсах, слетах</t>
  </si>
  <si>
    <t>Подпрограмма 6 «Организация отдыха, оздоровления и занятости детей и молодежи в Камчатском крае»</t>
  </si>
  <si>
    <t>Доля детей и подростков, участвующих во всех формах отдыха, оздоровления и занятости, в общей численности детей школьного возраста</t>
  </si>
  <si>
    <t>Доля детей и подростков «группы риска», а также находящихся в трудной жизненной ситуации, участвующих во всех формах отдыха и оздоровления, в общей численности детей, находящихся в трудной жизненной ситуации</t>
  </si>
  <si>
    <t>Доля детей-сирот и детей, оставшихся без попечения родителей, воспитывающихся в государственных организациях для детей данной категории в сфере образования, подлежащих отдыху и оздоровлению, отдохнувших в детских оздоровительных лагерях, в общей численности детей-сирот и детей, оставшихся без попечения родителей, воспитывающихся в таких организациях</t>
  </si>
  <si>
    <t>Количество детей, побывавших в детских оздоровительных организациях, расположенных в Дальневосточном федеральном округе и на побережьях Черного, Азовского и Каспийского морей</t>
  </si>
  <si>
    <t>Доля реконструируемой инфраструктуры КГОУ «Камчатский детский оздоровительно-образовательный центр» в общем объеме инфраструктуры КГОУ «Камчатский детский оздоровительно-образовательный центр»</t>
  </si>
  <si>
    <t>Доля реконструируемых помещений в детском оздоровительном лагере им. Ю. Гагарина в общей площади помещений детского оздоровительного лагеря им. Ю. Гагарина</t>
  </si>
  <si>
    <t>Доля загородных детских оздоровительных лагерей, обеспеченных системами видеонаблюдения, в общей численности загородных детских оздоровительных лагерей</t>
  </si>
  <si>
    <t>Доля детей и подростков, застрахованных на время их пребывания в организациях отдыха и оздоровления, а также во время их проезда к месту отдыха и обратно, в общей численности оздоровленных детей</t>
  </si>
  <si>
    <t>Доля детских оздоровительных организаций, обеспеченных лекарственными препаратами и медицинскими изделиями, в общей численности детских оздоровительных организаций</t>
  </si>
  <si>
    <t>Значение показателей</t>
  </si>
  <si>
    <t>1.4.</t>
  </si>
  <si>
    <t>1.5.</t>
  </si>
  <si>
    <t>1.6.</t>
  </si>
  <si>
    <t>2.5.</t>
  </si>
  <si>
    <t>2.6.</t>
  </si>
  <si>
    <t>2.7.</t>
  </si>
  <si>
    <t>6.9.</t>
  </si>
  <si>
    <t>Сведения</t>
  </si>
  <si>
    <t>о показателях (индикаторах) государственной программы Камчатского края</t>
  </si>
  <si>
    <t>«Физическая культура, спорт, молодежная политика, отдых и оздоровление детей в Камчатском крае»</t>
  </si>
  <si>
    <t>и подпрограмм Программы и их значениях</t>
  </si>
  <si>
    <t>Развитие студенческого спорта</t>
  </si>
  <si>
    <t>Показатели 1.1 таблицы приложения 1 к Программе</t>
  </si>
  <si>
    <t xml:space="preserve"> Капитальный ремонт, строительство, реконструкция объектов спортивной инфраструктуры муниципальной собственности и приобретение малобюджетных физкультурно-спортивных объектов в шаговой доступности в муниципальных образованиях, имеющих региональное софинансирование</t>
  </si>
  <si>
    <t>"Приложение 1 к Программе</t>
  </si>
  <si>
    <t>Объем средств на реализацию Программы</t>
  </si>
  <si>
    <t>".</t>
  </si>
  <si>
    <t xml:space="preserve">1.3.1. фкис         </t>
  </si>
  <si>
    <t>11020710340060521</t>
  </si>
  <si>
    <t xml:space="preserve">Алеутский           </t>
  </si>
  <si>
    <t xml:space="preserve">00000001080000001   </t>
  </si>
  <si>
    <t xml:space="preserve">г.о. Палана         </t>
  </si>
  <si>
    <t xml:space="preserve">00000001100000001   </t>
  </si>
  <si>
    <t xml:space="preserve">Мильковский         </t>
  </si>
  <si>
    <t xml:space="preserve">00000001060000001   </t>
  </si>
  <si>
    <t xml:space="preserve">Пенжинский мун. р.  </t>
  </si>
  <si>
    <t xml:space="preserve">00000001140000001   </t>
  </si>
  <si>
    <t xml:space="preserve">Соболевский         </t>
  </si>
  <si>
    <t xml:space="preserve">00000001050000001   </t>
  </si>
  <si>
    <t xml:space="preserve">Тигильский мун. р.  </t>
  </si>
  <si>
    <t xml:space="preserve">00000001130000001   </t>
  </si>
  <si>
    <t xml:space="preserve">Усть-Большерецкий   </t>
  </si>
  <si>
    <t xml:space="preserve">00000001040000001   </t>
  </si>
  <si>
    <t xml:space="preserve">Усть-Камчатский     </t>
  </si>
  <si>
    <t xml:space="preserve">00000001030000001   </t>
  </si>
  <si>
    <t xml:space="preserve">1.3.2. фкис         </t>
  </si>
  <si>
    <t xml:space="preserve">Вилючинск           </t>
  </si>
  <si>
    <t xml:space="preserve">00000001090000001   </t>
  </si>
  <si>
    <t xml:space="preserve">г. П-К              </t>
  </si>
  <si>
    <t xml:space="preserve">00000001010000001   </t>
  </si>
  <si>
    <t>елизово 9000 софинансир</t>
  </si>
  <si>
    <t xml:space="preserve">Оказание поддержки муниципальным образованиям в Камчатском крае для обеспечения подготовки спортивного резерва </t>
  </si>
  <si>
    <t>1.7.</t>
  </si>
  <si>
    <t>4.5.</t>
  </si>
  <si>
    <t>5.6.</t>
  </si>
  <si>
    <t xml:space="preserve">Перечень основных мероприятий государственной программы Камчатского края </t>
  </si>
  <si>
    <t>"Физическая культура, спорт, молодежная политика, отдых и оздоровление детей в Камчатском крае"</t>
  </si>
  <si>
    <t xml:space="preserve">Финансовое обеспечение  реализации государственной программы Камчатского края </t>
  </si>
  <si>
    <t>Снижение количества учащихся краевых государственных спортивных школ; снижение числа детей и молодежи 6 - 15 лет, занимающихся в спортивных организациях; снижение числа спортсменов-разрядников, занимающихся в системе специализированных детско-юношеских спортивных школ олимпийского резерва; снижение числа спортсменов-разрядников, имеющих разряды и звания (от первого спортивного разряда до спортивного звания "Заслуженный мастер спорта России")</t>
  </si>
  <si>
    <t>Основное мероприятие  1.1 Мероприятия по вовлечению населения в занятия физической культурой и массовым спортом</t>
  </si>
  <si>
    <t>Основное мероприятие  1.2 Физическое воспитание и обеспечение организации и проведения физкультурных мероприятий и массовых спортивных мероприятий</t>
  </si>
  <si>
    <t>Основное мероприятие  1.3 Совершенствование материально-технической базы для занятий физической культурой и массовым спортом</t>
  </si>
  <si>
    <t>Основное мероприятие  1.6 Развитие студенческого спорта</t>
  </si>
  <si>
    <t>Основное мероприятие  2.1 Обеспечение спортивной подготовки спортсменов высокого класса и спортивного резерва</t>
  </si>
  <si>
    <t>Основное мероприятие  2.2  Развитие  учреждений  сферы физической культуры и спорта</t>
  </si>
  <si>
    <t>Основное мероприятие  2.3 Укрепление кадрового потенциала в сфере физической культуры и спорта</t>
  </si>
  <si>
    <t xml:space="preserve">Основное мероприятие 2.6 Оказание поддержки муниципальным образованиям в Камчатском крае для обеспечения подготовки спортивного резерва </t>
  </si>
  <si>
    <t>Основное мероприятие 3.1 Обеспечение функционирования Министерства спорта  Камчатского края</t>
  </si>
  <si>
    <t>Основное мероприятие 4.2 Проектирование, строительство, реконструкция и модернизация спортивных объектов для занятий физической культурой и массовым спортом</t>
  </si>
  <si>
    <t>Основное мероприятие 4.4 Приобретение и монтаж временных некапитальных спортивных сооружений, капитальный ремонт, обследование, снос и демонтаж спортивных объектов</t>
  </si>
  <si>
    <t xml:space="preserve"> 1.6.1  </t>
  </si>
  <si>
    <t xml:space="preserve"> 2.7.1 </t>
  </si>
  <si>
    <t xml:space="preserve"> 2.7.2</t>
  </si>
  <si>
    <t>Основное мероприятие 5.2 Создание условий для интеллектуального, творческого развития молодежи, реализации ее научно-технического и творческого потенциала</t>
  </si>
  <si>
    <t>Основное мероприятие 5.4 Обеспечение деятельности учреждений сферы молодежной политики</t>
  </si>
  <si>
    <t xml:space="preserve">5.6. </t>
  </si>
  <si>
    <t>Основное мероприятие 6.1 Координация и организация проведения оздоровительной кампании в Камчатском крае</t>
  </si>
  <si>
    <t>Основное мероприятие 6.2 Мероприятия по повышению качества услуг, предоставляемых организациями отдыха детей и их оздоровления</t>
  </si>
  <si>
    <t>Основное мероприятие 6.3 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</si>
  <si>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Основное мероприятие 6.6 Мероприятия по улучшению инфраструктуры и материально-технической базы загородных оздоровительных лагерей, созданию новых зон отдыха</t>
  </si>
  <si>
    <t>Основное мероприятие 6.7 Научно-методическое, кадровое и информационное обеспечение оздоровительной кампании детей в Камчатском крае</t>
  </si>
  <si>
    <t>Мероприятие 2.P5.1 Приобретение спортивного оборудования и инвентаря для приведения организаций спортивной подготовки в нормативное состояние: развитие материально-технической базы спортивных школ олимпийского резерва</t>
  </si>
  <si>
    <t>Наименование  Программы / подпрограммы / мероприятия</t>
  </si>
  <si>
    <t xml:space="preserve"> 4.5.1</t>
  </si>
  <si>
    <t xml:space="preserve">"Приложение 3 к Программе </t>
  </si>
  <si>
    <t>Мероприятие  1.P5.1  Оснащение объектов спортивной инфраструктуры спортивно-технологическим
оборудованием: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</si>
  <si>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 xml:space="preserve">Основное мероприятие 4.3 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</si>
  <si>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Мероприятие 4.P5.1 Создание и модернизация объектов спортивной инфраструктуры региональной
собственности для занятий физической культурой и спортом</t>
  </si>
  <si>
    <t>3.2.</t>
  </si>
  <si>
    <t>Основное мероприятие 3.2 Обеспечение функционирования Агентства по делам молодежи  Камчатского края</t>
  </si>
  <si>
    <t>Основное мероприятие 5.1 Вовлечение молодёжи в социальную практику и её информирование о потенциальных возможностях развития</t>
  </si>
  <si>
    <t xml:space="preserve"> 2.7.3</t>
  </si>
  <si>
    <t xml:space="preserve">Мероприятие  2.P5.3 Закупка спортивного оборудования для спортивных школ олимпийского резерва и училищ олимпийского резерва
</t>
  </si>
  <si>
    <t xml:space="preserve">Мероприятие  2.P5.2 Предоставление субсидий на государственную поддержку спортивных организаций, осуществляющих подготовку спортивного резерва для сборных команд Российской Федерации" (Предоставление субсидий на адресную финансовую поддержку спортивных организаций,осуществляющих подготовку спортивного резерва для сборных команд Российской Федерации)
</t>
  </si>
  <si>
    <t>859</t>
  </si>
  <si>
    <t>4.5.1.1</t>
  </si>
  <si>
    <t>"Региональный спортивно-тренировочный центр по зимним видам спорта у подножия вулкана «Авачинский», Камчатский край"</t>
  </si>
  <si>
    <t>"Физкультурно-оздоровительный комплекс с плавательным бассейном в г. Петропавловске-Камчатском"</t>
  </si>
  <si>
    <t>4.5.1.2</t>
  </si>
  <si>
    <t>Обеспечение функционирования Агентства по делам молодежи  Камчатского края</t>
  </si>
  <si>
    <t>Агентство по делам молодежи Камчатского края</t>
  </si>
  <si>
    <t>Министерство образования Камчатского края, Агентство по делам молодежи Камчатского края</t>
  </si>
  <si>
    <t>Показатели п.5.5 - 5.8 таблицы приложения 1 к Программе</t>
  </si>
  <si>
    <t>Министерство образования Камчатского края</t>
  </si>
  <si>
    <t xml:space="preserve"> -</t>
  </si>
  <si>
    <t>Численность обучающихся, вовлеченных в деятельность общественных объединений на базе образовательных организаций общего образования, среднего профессионального и высшего образования, накопительным итогом</t>
  </si>
  <si>
    <t>млн. человек</t>
  </si>
  <si>
    <t>Доля граждан, вовлеченных в добровольческую деятельность, в общейчисленности населения Камчатского края</t>
  </si>
  <si>
    <t>5.7.</t>
  </si>
  <si>
    <t>Доля молодежи, вовлеченной в творческую деятельность, от общего числа молодежи в Камчатском крае</t>
  </si>
  <si>
    <t>5.8.</t>
  </si>
  <si>
    <t>Доля студентов, вовлеченных в клубное студенческое движение, от общего числа студентов в Камчатском крае</t>
  </si>
  <si>
    <t>Строительство региональных спортивно-тренировочных центров</t>
  </si>
  <si>
    <t>ед.</t>
  </si>
  <si>
    <t>Мероприятие 1. Р5.1 Оснащение объектов спортивной инфраструктуры спортивно-технологическим
оборудованием: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</si>
  <si>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1.7.1.</t>
  </si>
  <si>
    <t>2.7.1.</t>
  </si>
  <si>
    <t xml:space="preserve">2.7.2. </t>
  </si>
  <si>
    <t>2.7.3.</t>
  </si>
  <si>
    <t>4.5.1.</t>
  </si>
  <si>
    <t>Доля детей и молодежи (возраст 3-29 лет), систематически занимающихся физической культурой и спортом</t>
  </si>
  <si>
    <t>1.8.</t>
  </si>
  <si>
    <t>Доля граждан среднего возраста (женщины 30-54 года; мужчины 30-59 лет), систематически занимающихся физической культурой и спортом</t>
  </si>
  <si>
    <t>1.9.</t>
  </si>
  <si>
    <t>Доля граждан старшего возраста (женщины 55-79 лет; мужчины 60-79 лет), систематически занимающихся физической культурой и спортом</t>
  </si>
  <si>
    <t>2.9.</t>
  </si>
  <si>
    <t>Доля занимающихся по программам спортивной подготовки в организациях ведомственной принадлежности физической культуры и спорта</t>
  </si>
  <si>
    <t>Внедрение и реализация Всероссийского физкультурно-спортивного комплекса "Готов к труду и обороне" (ГТО) в муниципальных образованиях в Камчатском крае</t>
  </si>
  <si>
    <t>Оказание государственной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</si>
  <si>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Оказание государственной поддержки организациям, оказывающим услуги по спортивной подготовке,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</si>
  <si>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Основное мероприятие  2.5 Оказание государственной поддержки организациям, оказывающим услуги по спортивной подготовке,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</si>
  <si>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Основное мероприятие 2.4 Оказание государственной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</si>
  <si>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Основное мероприятие  1.5 Внедрение и реализация Всероссийского физкультурно-спортивного комплекса "Готов к труду и обороне" (ГТО) в муниципальных образованиях в Камчатском крае</t>
  </si>
  <si>
    <t>за счет средств федерального бюджета, в том числе:</t>
  </si>
  <si>
    <t>Показатели 1.1, 1.6, 1.7-1.9 таблицы приложения 1 к Программе</t>
  </si>
  <si>
    <t>Показатель 1.1, 1.7-1.9 таблицы приложения 1 к Программе</t>
  </si>
  <si>
    <t xml:space="preserve"> Региональный проект                 "Спорт - норма жизни" 2.P5</t>
  </si>
  <si>
    <t>Мероприятие 5.Е8.2 Ежегодное проведение информационной кампания по вовлечению творческой молодежи в отборочную кампанию на участие в образовательных программах Форума молодых деятелей культуры и искусства «Таврида». Осуществление очного собеседования потенциальных претендентов на участие. Осуществление логистического сопровождения отобранных участников на каждую представленную программу и смену от региона до аэропорта г. Симферополя</t>
  </si>
  <si>
    <t>Мероприятие 5.Е8.1 Создание центров (сообществ, объединений) поддержки добровольчества (волонтерства) на базе образовательных организаций, некоммерческих организаций, государственных и муниципальных учреждений</t>
  </si>
  <si>
    <t>Мероприятие 5.Е8.3 Проведение информационной и рекламной кампании в целях популяризации добровольчества (волонтерства) в Камчатском крае</t>
  </si>
  <si>
    <t>Мероприятие 5.Е8.4  Реализация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</si>
  <si>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 xml:space="preserve">Региональный проект "Спорт – норма жизни" 1.P5  </t>
  </si>
  <si>
    <t xml:space="preserve">Региональный проект              "Спорт - норма жизни" 4.P5 </t>
  </si>
  <si>
    <t xml:space="preserve"> Региональный проект "Социальная активность" 5.Е.8 </t>
  </si>
  <si>
    <t>5.6.1.</t>
  </si>
  <si>
    <t>5.6. 2.</t>
  </si>
  <si>
    <t>5.6.3.</t>
  </si>
  <si>
    <t>5.6. 4.</t>
  </si>
  <si>
    <t xml:space="preserve">Региональный проект  «Спорт – норма жизни» 1. Р5 </t>
  </si>
  <si>
    <t xml:space="preserve">Региональный проект "Спорт-норма жизни" 2. P5 </t>
  </si>
  <si>
    <t xml:space="preserve">Региональный проект "Спорт-норма жизни" 4. P5 </t>
  </si>
  <si>
    <t xml:space="preserve">Региональный проект "Социальная активность" 5.Е8 </t>
  </si>
  <si>
    <t>5.6.2.</t>
  </si>
  <si>
    <t>5.6.4.</t>
  </si>
  <si>
    <t>Реализация Программы своевременно и в полном объеме</t>
  </si>
  <si>
    <t>Невозможность реализации Программы своевременно и в полном объеме</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</si>
</sst>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Red]#,##0.00"/>
    <numFmt numFmtId="182" formatCode="#,##0.000;[Red]#,##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
    <numFmt numFmtId="189" formatCode="_-* #,##0.0_р_._-;\-* #,##0.0_р_._-;_-* &quot;-&quot;??_р_._-;_-@_-"/>
    <numFmt numFmtId="190" formatCode="_-* #,##0_р_._-;\-* #,##0_р_._-;_-* &quot;-&quot;??_р_._-;_-@_-"/>
    <numFmt numFmtId="191" formatCode="_-* #,##0.000_р_._-;\-* #,##0.000_р_._-;_-* &quot;-&quot;??_р_._-;_-@_-"/>
    <numFmt numFmtId="192" formatCode="_-* #,##0.0000_р_._-;\-* #,##0.0000_р_._-;_-* &quot;-&quot;??_р_._-;_-@_-"/>
    <numFmt numFmtId="193" formatCode="_-* #,##0.00000_р_._-;\-* #,##0.00000_р_._-;_-* &quot;-&quot;??_р_._-;_-@_-"/>
    <numFmt numFmtId="194" formatCode="[$-FC19]d\ mmmm\ yyyy\ &quot;г.&quot;"/>
    <numFmt numFmtId="195" formatCode="0.0"/>
    <numFmt numFmtId="196" formatCode="_-* #,##0.00000_р_._-;\-* #,##0.00000_р_._-;_-* &quot;-&quot;?????_р_._-;_-@_-"/>
    <numFmt numFmtId="197" formatCode="0_ ;\-0\ "/>
    <numFmt numFmtId="198" formatCode="_-* #,##0\ _р_._-;\-* #,##0\ _р_._-;_-* &quot;-&quot;??\ _р_._-;_-@_-"/>
    <numFmt numFmtId="199" formatCode="#,##0.0000"/>
  </numFmts>
  <fonts count="84">
    <font>
      <sz val="11"/>
      <color theme="1"/>
      <name val="Calibri"/>
      <family val="2"/>
    </font>
    <font>
      <sz val="11"/>
      <color indexed="8"/>
      <name val="Calibri"/>
      <family val="2"/>
    </font>
    <font>
      <sz val="10"/>
      <name val="Arial Cyr"/>
      <family val="0"/>
    </font>
    <font>
      <sz val="8"/>
      <name val="Times New Roman"/>
      <family val="1"/>
    </font>
    <font>
      <sz val="11"/>
      <name val="Times New Roman"/>
      <family val="1"/>
    </font>
    <font>
      <b/>
      <sz val="12"/>
      <name val="Times New Roman"/>
      <family val="1"/>
    </font>
    <font>
      <b/>
      <sz val="8"/>
      <name val="Times New Roman"/>
      <family val="1"/>
    </font>
    <font>
      <sz val="7.5"/>
      <color indexed="17"/>
      <name val="Times New Roman"/>
      <family val="1"/>
    </font>
    <font>
      <vertAlign val="superscript"/>
      <sz val="8"/>
      <name val="Times New Roman"/>
      <family val="1"/>
    </font>
    <font>
      <sz val="14"/>
      <name val="Times New Roman"/>
      <family val="1"/>
    </font>
    <font>
      <b/>
      <sz val="14"/>
      <name val="Times New Roman"/>
      <family val="1"/>
    </font>
    <font>
      <sz val="10"/>
      <name val="Times New Roman"/>
      <family val="1"/>
    </font>
    <font>
      <sz val="14"/>
      <name val="Arial"/>
      <family val="2"/>
    </font>
    <font>
      <sz val="12"/>
      <name val="Times New Roman"/>
      <family val="1"/>
    </font>
    <font>
      <sz val="8"/>
      <color indexed="8"/>
      <name val="Times New Roman"/>
      <family val="1"/>
    </font>
    <font>
      <vertAlign val="superscript"/>
      <sz val="8"/>
      <color indexed="8"/>
      <name val="Times New Roman"/>
      <family val="1"/>
    </font>
    <font>
      <sz val="11"/>
      <name val="Calibri"/>
      <family val="2"/>
    </font>
    <font>
      <b/>
      <sz val="8"/>
      <color indexed="8"/>
      <name val="Times New Roman"/>
      <family val="1"/>
    </font>
    <font>
      <sz val="9"/>
      <color indexed="8"/>
      <name val="Times New Roman"/>
      <family val="1"/>
    </font>
    <font>
      <sz val="10"/>
      <color indexed="8"/>
      <name val="Times New Roman"/>
      <family val="1"/>
    </font>
    <font>
      <b/>
      <sz val="11"/>
      <color indexed="8"/>
      <name val="Calibri"/>
      <family val="2"/>
    </font>
    <font>
      <sz val="11"/>
      <color indexed="10"/>
      <name val="Calibri"/>
      <family val="2"/>
    </font>
    <font>
      <sz val="8"/>
      <color indexed="10"/>
      <name val="Times New Roman"/>
      <family val="1"/>
    </font>
    <font>
      <sz val="8"/>
      <color indexed="10"/>
      <name val="Calibri"/>
      <family val="2"/>
    </font>
    <font>
      <sz val="11"/>
      <color indexed="9"/>
      <name val="Times New Roman"/>
      <family val="1"/>
    </font>
    <font>
      <sz val="8"/>
      <color indexed="36"/>
      <name val="Times New Roman"/>
      <family val="1"/>
    </font>
    <font>
      <b/>
      <sz val="8"/>
      <color indexed="36"/>
      <name val="Times New Roman"/>
      <family val="1"/>
    </font>
    <font>
      <sz val="8"/>
      <color indexed="8"/>
      <name val="Calibri"/>
      <family val="2"/>
    </font>
    <font>
      <sz val="14"/>
      <color indexed="8"/>
      <name val="Times New Roman"/>
      <family val="1"/>
    </font>
    <font>
      <sz val="8"/>
      <name val="Calibri"/>
      <family val="2"/>
    </font>
    <font>
      <sz val="14"/>
      <color indexed="10"/>
      <name val="Times New Roman"/>
      <family val="1"/>
    </font>
    <font>
      <b/>
      <sz val="14"/>
      <color indexed="10"/>
      <name val="Times New Roman"/>
      <family val="1"/>
    </font>
    <font>
      <b/>
      <sz val="9"/>
      <name val="Times New Roman"/>
      <family val="1"/>
    </font>
    <font>
      <i/>
      <sz val="8"/>
      <color indexed="8"/>
      <name val="Times New Roman"/>
      <family val="1"/>
    </font>
    <font>
      <i/>
      <sz val="8"/>
      <name val="Times New Roman"/>
      <family val="1"/>
    </font>
    <font>
      <b/>
      <sz val="9"/>
      <color indexed="8"/>
      <name val="Times New Roman"/>
      <family val="1"/>
    </font>
    <font>
      <sz val="6"/>
      <name val="Times New Roman"/>
      <family val="1"/>
    </font>
    <font>
      <sz val="8"/>
      <name val="Arial"/>
      <family val="2"/>
    </font>
    <font>
      <sz val="16"/>
      <name val="Times New Roman"/>
      <family val="1"/>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sz val="11"/>
      <color indexed="8"/>
      <name val="Times New Roman"/>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8"/>
      <color indexed="17"/>
      <name val="Times New Roman"/>
      <family val="1"/>
    </font>
    <font>
      <sz val="10"/>
      <color indexed="10"/>
      <name val="Times New Roman"/>
      <family val="1"/>
    </font>
    <font>
      <b/>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rgb="FF00B050"/>
      <name val="Times New Roman"/>
      <family val="1"/>
    </font>
    <font>
      <sz val="10"/>
      <color rgb="FFFF0000"/>
      <name val="Times New Roman"/>
      <family val="1"/>
    </font>
    <font>
      <sz val="14"/>
      <color theme="1"/>
      <name val="Times New Roman"/>
      <family val="1"/>
    </font>
    <font>
      <b/>
      <sz val="8"/>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style="hair"/>
      <bottom/>
    </border>
    <border>
      <left/>
      <right/>
      <top style="thin"/>
      <bottom style="thin"/>
    </border>
    <border>
      <left>
        <color indexed="63"/>
      </left>
      <right style="thin"/>
      <top style="thin"/>
      <bottom style="thin"/>
    </border>
    <border>
      <left style="thin"/>
      <right style="thin"/>
      <top style="thin"/>
      <bottom/>
    </border>
    <border>
      <left style="hair"/>
      <right/>
      <top style="hair"/>
      <bottom style="hair"/>
    </border>
    <border>
      <left style="hair"/>
      <right style="hair"/>
      <top style="hair"/>
      <bottom style="hair"/>
    </border>
    <border>
      <left style="medium"/>
      <right style="thin"/>
      <top style="thin"/>
      <bottom style="thin"/>
    </border>
    <border>
      <left style="thin"/>
      <right style="thin"/>
      <top style="thin"/>
      <bottom style="medium"/>
    </border>
    <border>
      <left style="thin">
        <color indexed="60"/>
      </left>
      <right style="thin">
        <color indexed="60"/>
      </right>
      <top style="thin">
        <color indexed="60"/>
      </top>
      <bottom style="thin">
        <color indexed="60"/>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bottom/>
    </border>
    <border>
      <left style="thin"/>
      <right/>
      <top style="thin"/>
      <bottom style="thin"/>
    </border>
    <border>
      <left style="medium"/>
      <right style="thin"/>
      <top style="thin"/>
      <bottom>
        <color indexed="63"/>
      </bottom>
    </border>
    <border>
      <left style="medium"/>
      <right style="thin"/>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72" fillId="0" borderId="0">
      <alignment/>
      <protection/>
    </xf>
    <xf numFmtId="0" fontId="37" fillId="0" borderId="0">
      <alignment/>
      <protection/>
    </xf>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9" fontId="72" fillId="0" borderId="0" applyFont="0" applyFill="0" applyBorder="0" applyAlignment="0" applyProtection="0"/>
    <xf numFmtId="0" fontId="78" fillId="32" borderId="0" applyNumberFormat="0" applyBorder="0" applyAlignment="0" applyProtection="0"/>
  </cellStyleXfs>
  <cellXfs count="531">
    <xf numFmtId="0" fontId="0" fillId="0" borderId="0" xfId="0" applyFont="1" applyAlignment="1">
      <alignment/>
    </xf>
    <xf numFmtId="0" fontId="0" fillId="33" borderId="0" xfId="0" applyFill="1" applyAlignment="1">
      <alignment/>
    </xf>
    <xf numFmtId="0" fontId="16" fillId="33" borderId="0" xfId="0" applyFont="1" applyFill="1" applyAlignment="1">
      <alignment/>
    </xf>
    <xf numFmtId="0" fontId="3" fillId="33" borderId="0" xfId="53" applyFont="1" applyFill="1">
      <alignment/>
      <protection/>
    </xf>
    <xf numFmtId="0" fontId="12"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3" fillId="33" borderId="0" xfId="53" applyFont="1" applyFill="1" applyAlignment="1">
      <alignment horizontal="center" vertical="center"/>
      <protection/>
    </xf>
    <xf numFmtId="0" fontId="20" fillId="33" borderId="0" xfId="0" applyFont="1" applyFill="1" applyAlignment="1">
      <alignment/>
    </xf>
    <xf numFmtId="0" fontId="20" fillId="33" borderId="0" xfId="0" applyFont="1" applyFill="1" applyAlignment="1">
      <alignment vertical="center"/>
    </xf>
    <xf numFmtId="0" fontId="21" fillId="33" borderId="0" xfId="0" applyFont="1" applyFill="1" applyAlignment="1">
      <alignment/>
    </xf>
    <xf numFmtId="0" fontId="0" fillId="33" borderId="0" xfId="0" applyFill="1" applyAlignment="1">
      <alignment vertical="center"/>
    </xf>
    <xf numFmtId="0" fontId="0" fillId="33" borderId="0" xfId="0" applyFill="1" applyAlignment="1">
      <alignment horizontal="center" vertical="center"/>
    </xf>
    <xf numFmtId="0" fontId="9" fillId="33" borderId="0" xfId="0" applyFont="1" applyFill="1" applyAlignment="1">
      <alignment vertical="center"/>
    </xf>
    <xf numFmtId="0" fontId="5" fillId="33" borderId="0" xfId="53" applyFont="1" applyFill="1" applyAlignment="1">
      <alignment horizontal="center"/>
      <protection/>
    </xf>
    <xf numFmtId="0" fontId="5" fillId="33" borderId="0" xfId="53" applyFont="1" applyFill="1" applyAlignment="1">
      <alignment/>
      <protection/>
    </xf>
    <xf numFmtId="0" fontId="0" fillId="0" borderId="0" xfId="0" applyFill="1" applyAlignment="1">
      <alignment/>
    </xf>
    <xf numFmtId="0" fontId="3" fillId="0" borderId="10" xfId="53" applyFont="1" applyFill="1" applyBorder="1" applyAlignment="1">
      <alignment horizontal="center" vertical="center" wrapText="1"/>
      <protection/>
    </xf>
    <xf numFmtId="0" fontId="3" fillId="0" borderId="10" xfId="53" applyFont="1" applyFill="1" applyBorder="1" applyAlignment="1">
      <alignment vertical="center" wrapText="1"/>
      <protection/>
    </xf>
    <xf numFmtId="0" fontId="3" fillId="0" borderId="10" xfId="54" applyFont="1" applyFill="1" applyBorder="1" applyAlignment="1">
      <alignment horizontal="center" vertical="center" wrapText="1"/>
      <protection/>
    </xf>
    <xf numFmtId="0" fontId="3" fillId="0" borderId="0" xfId="53" applyFont="1" applyFill="1" applyAlignment="1">
      <alignment horizontal="center" vertical="center"/>
      <protection/>
    </xf>
    <xf numFmtId="0" fontId="3" fillId="0" borderId="0" xfId="53" applyFont="1" applyFill="1">
      <alignment/>
      <protection/>
    </xf>
    <xf numFmtId="0" fontId="14" fillId="0" borderId="0" xfId="54" applyFont="1" applyFill="1" applyAlignment="1">
      <alignment horizontal="left"/>
      <protection/>
    </xf>
    <xf numFmtId="0" fontId="15" fillId="0" borderId="0" xfId="54" applyFont="1" applyFill="1" applyAlignment="1">
      <alignment horizontal="left" vertical="top"/>
      <protection/>
    </xf>
    <xf numFmtId="180" fontId="15" fillId="0" borderId="0" xfId="54" applyNumberFormat="1" applyFont="1" applyFill="1" applyAlignment="1">
      <alignment horizontal="center" vertical="center"/>
      <protection/>
    </xf>
    <xf numFmtId="0" fontId="14" fillId="0" borderId="0" xfId="54" applyFont="1" applyFill="1" applyAlignment="1">
      <alignment horizontal="left" vertical="top"/>
      <protection/>
    </xf>
    <xf numFmtId="0" fontId="14" fillId="0" borderId="0" xfId="53" applyFont="1" applyFill="1">
      <alignment/>
      <protection/>
    </xf>
    <xf numFmtId="180" fontId="14" fillId="0" borderId="0" xfId="53" applyNumberFormat="1" applyFont="1" applyFill="1" applyAlignment="1">
      <alignment horizontal="center" vertical="center"/>
      <protection/>
    </xf>
    <xf numFmtId="180" fontId="3" fillId="0" borderId="10" xfId="53" applyNumberFormat="1" applyFont="1" applyFill="1" applyBorder="1" applyAlignment="1">
      <alignment horizontal="center" vertical="center" wrapText="1"/>
      <protection/>
    </xf>
    <xf numFmtId="0" fontId="0" fillId="34" borderId="0" xfId="0" applyFill="1" applyAlignment="1">
      <alignment/>
    </xf>
    <xf numFmtId="0" fontId="16" fillId="34" borderId="0" xfId="0" applyFont="1" applyFill="1" applyAlignment="1">
      <alignment/>
    </xf>
    <xf numFmtId="0" fontId="4" fillId="0" borderId="0" xfId="53" applyFont="1" applyFill="1">
      <alignment/>
      <protection/>
    </xf>
    <xf numFmtId="0" fontId="4" fillId="0" borderId="0" xfId="53" applyFont="1" applyFill="1" applyAlignment="1">
      <alignment horizontal="center"/>
      <protection/>
    </xf>
    <xf numFmtId="49" fontId="4" fillId="0" borderId="0" xfId="53" applyNumberFormat="1" applyFont="1" applyFill="1" applyAlignment="1">
      <alignment horizontal="center"/>
      <protection/>
    </xf>
    <xf numFmtId="180" fontId="4" fillId="0" borderId="0" xfId="53" applyNumberFormat="1" applyFont="1" applyFill="1" applyAlignment="1">
      <alignment horizontal="center" vertical="center"/>
      <protection/>
    </xf>
    <xf numFmtId="180" fontId="24" fillId="0" borderId="0" xfId="53" applyNumberFormat="1" applyFont="1" applyFill="1" applyAlignment="1">
      <alignment horizontal="center" vertical="center"/>
      <protection/>
    </xf>
    <xf numFmtId="180" fontId="4" fillId="0" borderId="0" xfId="53" applyNumberFormat="1" applyFont="1" applyFill="1" applyAlignment="1">
      <alignment horizontal="right" vertical="center"/>
      <protection/>
    </xf>
    <xf numFmtId="0" fontId="9" fillId="0" borderId="10" xfId="53" applyFont="1" applyFill="1" applyBorder="1" applyAlignment="1">
      <alignment horizontal="center" vertical="center" wrapText="1"/>
      <protection/>
    </xf>
    <xf numFmtId="180"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top" wrapText="1"/>
      <protection/>
    </xf>
    <xf numFmtId="49" fontId="30" fillId="0" borderId="10" xfId="53" applyNumberFormat="1" applyFont="1" applyFill="1" applyBorder="1" applyAlignment="1">
      <alignment horizontal="center" vertical="top" wrapText="1"/>
      <protection/>
    </xf>
    <xf numFmtId="3"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protection/>
    </xf>
    <xf numFmtId="49" fontId="30" fillId="0" borderId="10" xfId="53" applyNumberFormat="1" applyFont="1" applyFill="1" applyBorder="1" applyAlignment="1">
      <alignment horizontal="center" vertical="center"/>
      <protection/>
    </xf>
    <xf numFmtId="3" fontId="9" fillId="0" borderId="10" xfId="53" applyNumberFormat="1" applyFont="1" applyFill="1" applyBorder="1" applyAlignment="1">
      <alignment horizontal="center" vertical="center"/>
      <protection/>
    </xf>
    <xf numFmtId="0" fontId="9" fillId="0" borderId="10" xfId="53" applyFont="1" applyFill="1" applyBorder="1" applyAlignment="1">
      <alignment vertical="center" wrapText="1"/>
      <protection/>
    </xf>
    <xf numFmtId="0" fontId="10" fillId="0" borderId="10" xfId="53" applyFont="1" applyFill="1" applyBorder="1" applyAlignment="1">
      <alignment vertical="center" wrapText="1"/>
      <protection/>
    </xf>
    <xf numFmtId="180" fontId="10" fillId="0" borderId="10" xfId="53" applyNumberFormat="1" applyFont="1" applyFill="1" applyBorder="1" applyAlignment="1">
      <alignment horizontal="center" vertical="center"/>
      <protection/>
    </xf>
    <xf numFmtId="49" fontId="9" fillId="0" borderId="10" xfId="53" applyNumberFormat="1" applyFont="1" applyFill="1" applyBorder="1" applyAlignment="1">
      <alignment horizontal="center" vertical="center"/>
      <protection/>
    </xf>
    <xf numFmtId="180" fontId="9" fillId="0" borderId="10" xfId="53" applyNumberFormat="1" applyFont="1" applyFill="1" applyBorder="1" applyAlignment="1">
      <alignment horizontal="center" vertical="center"/>
      <protection/>
    </xf>
    <xf numFmtId="49" fontId="10" fillId="0" borderId="10" xfId="53" applyNumberFormat="1" applyFont="1" applyFill="1" applyBorder="1" applyAlignment="1">
      <alignment horizontal="center" vertical="center"/>
      <protection/>
    </xf>
    <xf numFmtId="49" fontId="31" fillId="0" borderId="10" xfId="53" applyNumberFormat="1" applyFont="1" applyFill="1" applyBorder="1" applyAlignment="1">
      <alignment horizontal="center" vertical="center"/>
      <protection/>
    </xf>
    <xf numFmtId="0" fontId="10" fillId="0" borderId="10" xfId="53" applyFont="1" applyFill="1" applyBorder="1" applyAlignment="1">
      <alignment horizontal="center" vertical="center"/>
      <protection/>
    </xf>
    <xf numFmtId="49" fontId="10" fillId="0" borderId="10" xfId="53" applyNumberFormat="1" applyFont="1" applyFill="1" applyBorder="1" applyAlignment="1">
      <alignment horizontal="center" vertical="center" wrapText="1"/>
      <protection/>
    </xf>
    <xf numFmtId="0" fontId="10" fillId="0" borderId="10" xfId="53" applyFont="1" applyFill="1" applyBorder="1" applyAlignment="1">
      <alignment horizontal="center" vertical="center" wrapText="1"/>
      <protection/>
    </xf>
    <xf numFmtId="180" fontId="10" fillId="0" borderId="10" xfId="53" applyNumberFormat="1" applyFont="1" applyFill="1" applyBorder="1" applyAlignment="1">
      <alignment horizontal="center" vertical="center" wrapText="1"/>
      <protection/>
    </xf>
    <xf numFmtId="49" fontId="9" fillId="0" borderId="10" xfId="53" applyNumberFormat="1" applyFont="1" applyFill="1" applyBorder="1" applyAlignment="1">
      <alignment horizontal="center" vertical="center" wrapText="1"/>
      <protection/>
    </xf>
    <xf numFmtId="180" fontId="9" fillId="0" borderId="10" xfId="0" applyNumberFormat="1" applyFont="1" applyFill="1" applyBorder="1" applyAlignment="1">
      <alignment horizontal="center"/>
    </xf>
    <xf numFmtId="180" fontId="10" fillId="0" borderId="10" xfId="0" applyNumberFormat="1" applyFont="1" applyFill="1" applyBorder="1" applyAlignment="1">
      <alignment horizontal="center" vertical="center"/>
    </xf>
    <xf numFmtId="180" fontId="9" fillId="0" borderId="10" xfId="0" applyNumberFormat="1" applyFont="1" applyFill="1" applyBorder="1" applyAlignment="1">
      <alignment horizontal="center" vertical="center"/>
    </xf>
    <xf numFmtId="0" fontId="9" fillId="0" borderId="10" xfId="54" applyFont="1" applyFill="1" applyBorder="1" applyAlignment="1">
      <alignment vertical="center" wrapText="1"/>
      <protection/>
    </xf>
    <xf numFmtId="0" fontId="10" fillId="0" borderId="10" xfId="54" applyFont="1" applyFill="1" applyBorder="1" applyAlignment="1">
      <alignment vertical="center" wrapText="1"/>
      <protection/>
    </xf>
    <xf numFmtId="180" fontId="10" fillId="0" borderId="10" xfId="54" applyNumberFormat="1" applyFont="1" applyFill="1" applyBorder="1" applyAlignment="1">
      <alignment horizontal="center" vertical="center"/>
      <protection/>
    </xf>
    <xf numFmtId="180" fontId="9" fillId="0" borderId="10" xfId="54" applyNumberFormat="1" applyFont="1" applyFill="1" applyBorder="1" applyAlignment="1">
      <alignment horizontal="center" vertical="center"/>
      <protection/>
    </xf>
    <xf numFmtId="180" fontId="10" fillId="0" borderId="10" xfId="54" applyNumberFormat="1" applyFont="1" applyFill="1" applyBorder="1" applyAlignment="1">
      <alignment horizontal="center" vertical="center" wrapText="1"/>
      <protection/>
    </xf>
    <xf numFmtId="0" fontId="11" fillId="0" borderId="0" xfId="53" applyFont="1" applyFill="1">
      <alignment/>
      <protection/>
    </xf>
    <xf numFmtId="0" fontId="11" fillId="0" borderId="0" xfId="53" applyFont="1" applyFill="1" applyAlignment="1">
      <alignment horizontal="center"/>
      <protection/>
    </xf>
    <xf numFmtId="49" fontId="11" fillId="0" borderId="0" xfId="53" applyNumberFormat="1" applyFont="1" applyFill="1" applyAlignment="1">
      <alignment horizontal="center"/>
      <protection/>
    </xf>
    <xf numFmtId="180" fontId="11" fillId="0" borderId="0" xfId="53" applyNumberFormat="1" applyFont="1" applyFill="1" applyAlignment="1">
      <alignment horizontal="center" vertical="center"/>
      <protection/>
    </xf>
    <xf numFmtId="180" fontId="13" fillId="0" borderId="0" xfId="53" applyNumberFormat="1" applyFont="1" applyFill="1" applyAlignment="1">
      <alignment horizontal="center" vertical="center"/>
      <protection/>
    </xf>
    <xf numFmtId="0" fontId="16" fillId="0" borderId="0" xfId="0" applyFont="1" applyFill="1" applyAlignment="1">
      <alignment/>
    </xf>
    <xf numFmtId="49" fontId="16" fillId="0" borderId="0" xfId="0" applyNumberFormat="1" applyFont="1" applyFill="1" applyAlignment="1">
      <alignment/>
    </xf>
    <xf numFmtId="180" fontId="10" fillId="35" borderId="10" xfId="53" applyNumberFormat="1" applyFont="1" applyFill="1" applyBorder="1" applyAlignment="1">
      <alignment horizontal="center" vertical="center"/>
      <protection/>
    </xf>
    <xf numFmtId="180" fontId="10" fillId="35" borderId="10" xfId="53" applyNumberFormat="1" applyFont="1" applyFill="1" applyBorder="1" applyAlignment="1">
      <alignment horizontal="center" vertical="center" wrapText="1"/>
      <protection/>
    </xf>
    <xf numFmtId="180" fontId="9" fillId="35" borderId="10" xfId="54" applyNumberFormat="1" applyFont="1" applyFill="1" applyBorder="1" applyAlignment="1">
      <alignment horizontal="center" vertical="center"/>
      <protection/>
    </xf>
    <xf numFmtId="180" fontId="10" fillId="0" borderId="0" xfId="53" applyNumberFormat="1" applyFont="1" applyFill="1" applyAlignment="1">
      <alignment horizontal="center" vertical="center"/>
      <protection/>
    </xf>
    <xf numFmtId="0" fontId="11" fillId="0" borderId="0" xfId="53" applyFont="1" applyFill="1" applyAlignment="1">
      <alignment wrapText="1"/>
      <protection/>
    </xf>
    <xf numFmtId="180" fontId="9" fillId="0" borderId="0" xfId="53" applyNumberFormat="1" applyFont="1" applyFill="1" applyAlignment="1">
      <alignment wrapText="1"/>
      <protection/>
    </xf>
    <xf numFmtId="180" fontId="9" fillId="0" borderId="0" xfId="0" applyNumberFormat="1" applyFont="1" applyFill="1" applyAlignment="1">
      <alignment/>
    </xf>
    <xf numFmtId="180" fontId="10" fillId="35" borderId="0" xfId="53" applyNumberFormat="1" applyFont="1" applyFill="1" applyAlignment="1">
      <alignment horizontal="center" vertical="center"/>
      <protection/>
    </xf>
    <xf numFmtId="180" fontId="10" fillId="35" borderId="10" xfId="54" applyNumberFormat="1" applyFont="1" applyFill="1" applyBorder="1" applyAlignment="1">
      <alignment horizontal="center" vertical="center" wrapText="1"/>
      <protection/>
    </xf>
    <xf numFmtId="180" fontId="4" fillId="36" borderId="0" xfId="53" applyNumberFormat="1" applyFont="1" applyFill="1" applyAlignment="1">
      <alignment horizontal="center" vertical="center"/>
      <protection/>
    </xf>
    <xf numFmtId="3" fontId="9" fillId="36" borderId="10" xfId="53" applyNumberFormat="1" applyFont="1" applyFill="1" applyBorder="1" applyAlignment="1">
      <alignment horizontal="center" vertical="center" wrapText="1"/>
      <protection/>
    </xf>
    <xf numFmtId="3" fontId="9" fillId="36" borderId="10" xfId="53" applyNumberFormat="1" applyFont="1" applyFill="1" applyBorder="1" applyAlignment="1">
      <alignment horizontal="center" vertical="center"/>
      <protection/>
    </xf>
    <xf numFmtId="180" fontId="10" fillId="36" borderId="10" xfId="53" applyNumberFormat="1" applyFont="1" applyFill="1" applyBorder="1" applyAlignment="1">
      <alignment horizontal="center" vertical="center"/>
      <protection/>
    </xf>
    <xf numFmtId="180" fontId="9" fillId="36" borderId="10" xfId="53" applyNumberFormat="1" applyFont="1" applyFill="1" applyBorder="1" applyAlignment="1">
      <alignment horizontal="center" vertical="center"/>
      <protection/>
    </xf>
    <xf numFmtId="180" fontId="10" fillId="36" borderId="10" xfId="54" applyNumberFormat="1" applyFont="1" applyFill="1" applyBorder="1" applyAlignment="1">
      <alignment horizontal="center" vertical="center"/>
      <protection/>
    </xf>
    <xf numFmtId="180" fontId="9" fillId="36" borderId="10" xfId="54" applyNumberFormat="1" applyFont="1" applyFill="1" applyBorder="1" applyAlignment="1">
      <alignment horizontal="center" vertical="center"/>
      <protection/>
    </xf>
    <xf numFmtId="180" fontId="10" fillId="36" borderId="10" xfId="54" applyNumberFormat="1" applyFont="1" applyFill="1" applyBorder="1" applyAlignment="1">
      <alignment horizontal="center" vertical="center" wrapText="1"/>
      <protection/>
    </xf>
    <xf numFmtId="180" fontId="11" fillId="36" borderId="0" xfId="53" applyNumberFormat="1" applyFont="1" applyFill="1" applyAlignment="1">
      <alignment horizontal="center" vertical="center"/>
      <protection/>
    </xf>
    <xf numFmtId="180" fontId="10" fillId="36" borderId="0" xfId="53" applyNumberFormat="1" applyFont="1" applyFill="1" applyAlignment="1">
      <alignment horizontal="center" vertical="center"/>
      <protection/>
    </xf>
    <xf numFmtId="180" fontId="9" fillId="36" borderId="0" xfId="53" applyNumberFormat="1" applyFont="1" applyFill="1" applyAlignment="1">
      <alignment wrapText="1"/>
      <protection/>
    </xf>
    <xf numFmtId="0" fontId="16" fillId="36" borderId="0" xfId="0" applyFont="1" applyFill="1" applyAlignment="1">
      <alignment/>
    </xf>
    <xf numFmtId="180" fontId="9" fillId="36" borderId="0" xfId="0" applyNumberFormat="1" applyFont="1" applyFill="1" applyAlignment="1">
      <alignment/>
    </xf>
    <xf numFmtId="180" fontId="16" fillId="36" borderId="0" xfId="0" applyNumberFormat="1" applyFont="1" applyFill="1" applyAlignment="1">
      <alignment/>
    </xf>
    <xf numFmtId="180" fontId="3" fillId="0" borderId="0" xfId="53" applyNumberFormat="1" applyFont="1" applyFill="1" applyAlignment="1">
      <alignment horizontal="center" vertical="center"/>
      <protection/>
    </xf>
    <xf numFmtId="0" fontId="5" fillId="0" borderId="0" xfId="53" applyFont="1" applyFill="1" applyAlignment="1">
      <alignment/>
      <protection/>
    </xf>
    <xf numFmtId="0" fontId="5" fillId="0" borderId="0" xfId="53" applyFont="1" applyFill="1" applyAlignment="1">
      <alignment horizontal="center"/>
      <protection/>
    </xf>
    <xf numFmtId="0" fontId="22" fillId="37" borderId="0" xfId="53" applyFont="1" applyFill="1">
      <alignment/>
      <protection/>
    </xf>
    <xf numFmtId="0" fontId="5" fillId="37" borderId="0" xfId="53" applyFont="1" applyFill="1" applyAlignment="1">
      <alignment/>
      <protection/>
    </xf>
    <xf numFmtId="0" fontId="5" fillId="37" borderId="0" xfId="53" applyFont="1" applyFill="1" applyAlignment="1">
      <alignment horizontal="center"/>
      <protection/>
    </xf>
    <xf numFmtId="49" fontId="3" fillId="37" borderId="10" xfId="53" applyNumberFormat="1" applyFont="1" applyFill="1" applyBorder="1" applyAlignment="1">
      <alignment vertical="top" wrapText="1"/>
      <protection/>
    </xf>
    <xf numFmtId="49" fontId="3" fillId="37" borderId="10" xfId="53" applyNumberFormat="1" applyFont="1" applyFill="1" applyBorder="1" applyAlignment="1">
      <alignment wrapText="1"/>
      <protection/>
    </xf>
    <xf numFmtId="0" fontId="23" fillId="37" borderId="0" xfId="0" applyFont="1" applyFill="1" applyAlignment="1">
      <alignment/>
    </xf>
    <xf numFmtId="49" fontId="3" fillId="0" borderId="10" xfId="53" applyNumberFormat="1" applyFont="1" applyFill="1" applyBorder="1" applyAlignment="1">
      <alignment horizontal="center" vertical="center" wrapText="1"/>
      <protection/>
    </xf>
    <xf numFmtId="0" fontId="16" fillId="33" borderId="0" xfId="0" applyFont="1" applyFill="1" applyAlignment="1">
      <alignment/>
    </xf>
    <xf numFmtId="0" fontId="16" fillId="33" borderId="0" xfId="0" applyFont="1" applyFill="1" applyAlignment="1">
      <alignment/>
    </xf>
    <xf numFmtId="3" fontId="3" fillId="0" borderId="10" xfId="53" applyNumberFormat="1" applyFont="1" applyFill="1" applyBorder="1" applyAlignment="1">
      <alignment horizontal="center" vertical="top"/>
      <protection/>
    </xf>
    <xf numFmtId="3" fontId="3" fillId="0" borderId="10" xfId="53" applyNumberFormat="1" applyFont="1" applyFill="1" applyBorder="1" applyAlignment="1">
      <alignment horizontal="center" vertical="center"/>
      <protection/>
    </xf>
    <xf numFmtId="3" fontId="3" fillId="37" borderId="10" xfId="53" applyNumberFormat="1" applyFont="1" applyFill="1" applyBorder="1" applyAlignment="1">
      <alignment horizontal="center" vertical="center"/>
      <protection/>
    </xf>
    <xf numFmtId="180" fontId="17" fillId="0" borderId="10" xfId="53" applyNumberFormat="1" applyFont="1" applyFill="1" applyBorder="1" applyAlignment="1">
      <alignment horizontal="center" vertical="center" wrapText="1"/>
      <protection/>
    </xf>
    <xf numFmtId="180" fontId="14" fillId="0" borderId="10" xfId="53" applyNumberFormat="1" applyFont="1" applyFill="1" applyBorder="1" applyAlignment="1">
      <alignment horizontal="center" vertical="center" wrapText="1"/>
      <protection/>
    </xf>
    <xf numFmtId="180" fontId="14" fillId="0" borderId="10" xfId="53" applyNumberFormat="1" applyFont="1" applyFill="1" applyBorder="1" applyAlignment="1">
      <alignment horizontal="center" vertical="center" wrapText="1"/>
      <protection/>
    </xf>
    <xf numFmtId="180" fontId="6" fillId="0" borderId="10" xfId="53" applyNumberFormat="1" applyFont="1" applyFill="1" applyBorder="1" applyAlignment="1">
      <alignment horizontal="center" vertical="center" wrapText="1"/>
      <protection/>
    </xf>
    <xf numFmtId="180" fontId="17" fillId="0" borderId="10" xfId="53" applyNumberFormat="1" applyFont="1" applyFill="1" applyBorder="1" applyAlignment="1">
      <alignment horizontal="center" vertical="center" wrapText="1"/>
      <protection/>
    </xf>
    <xf numFmtId="49" fontId="3" fillId="0" borderId="10" xfId="53" applyNumberFormat="1" applyFont="1" applyFill="1" applyBorder="1" applyAlignment="1">
      <alignment horizontal="center" vertical="top" wrapText="1"/>
      <protection/>
    </xf>
    <xf numFmtId="180" fontId="3" fillId="0" borderId="10" xfId="0" applyNumberFormat="1" applyFont="1" applyFill="1" applyBorder="1" applyAlignment="1">
      <alignment horizontal="center" vertical="center" wrapText="1"/>
    </xf>
    <xf numFmtId="49" fontId="79" fillId="0" borderId="10" xfId="53" applyNumberFormat="1" applyFont="1" applyFill="1" applyBorder="1" applyAlignment="1">
      <alignment vertical="top" wrapText="1"/>
      <protection/>
    </xf>
    <xf numFmtId="180" fontId="14" fillId="0" borderId="10" xfId="54" applyNumberFormat="1" applyFont="1" applyFill="1" applyBorder="1" applyAlignment="1">
      <alignment horizontal="center" vertical="center"/>
      <protection/>
    </xf>
    <xf numFmtId="180" fontId="17" fillId="0" borderId="10" xfId="54" applyNumberFormat="1" applyFont="1" applyFill="1" applyBorder="1" applyAlignment="1">
      <alignment horizontal="center" vertical="center" wrapText="1"/>
      <protection/>
    </xf>
    <xf numFmtId="180" fontId="14" fillId="0" borderId="10" xfId="54" applyNumberFormat="1" applyFont="1" applyFill="1" applyBorder="1" applyAlignment="1">
      <alignment horizontal="center" vertical="center" wrapText="1"/>
      <protection/>
    </xf>
    <xf numFmtId="0" fontId="14" fillId="0" borderId="10" xfId="54" applyFont="1" applyFill="1" applyBorder="1" applyAlignment="1">
      <alignment horizontal="left" vertical="top" wrapText="1"/>
      <protection/>
    </xf>
    <xf numFmtId="49" fontId="14" fillId="0" borderId="10" xfId="54" applyNumberFormat="1" applyFont="1" applyFill="1" applyBorder="1" applyAlignment="1">
      <alignment horizontal="center" vertical="top" wrapText="1"/>
      <protection/>
    </xf>
    <xf numFmtId="180" fontId="14" fillId="0" borderId="10" xfId="54" applyNumberFormat="1" applyFont="1" applyFill="1" applyBorder="1" applyAlignment="1">
      <alignment horizontal="center" vertical="center" wrapText="1"/>
      <protection/>
    </xf>
    <xf numFmtId="180" fontId="19" fillId="0" borderId="10" xfId="54" applyNumberFormat="1" applyFont="1" applyFill="1" applyBorder="1" applyAlignment="1">
      <alignment horizontal="center" vertical="center" wrapText="1"/>
      <protection/>
    </xf>
    <xf numFmtId="180" fontId="18" fillId="0" borderId="10" xfId="54" applyNumberFormat="1" applyFont="1" applyFill="1" applyBorder="1" applyAlignment="1">
      <alignment horizontal="center" vertical="center" wrapText="1"/>
      <protection/>
    </xf>
    <xf numFmtId="180" fontId="3" fillId="0" borderId="10" xfId="54" applyNumberFormat="1" applyFont="1" applyFill="1" applyBorder="1" applyAlignment="1">
      <alignment horizontal="center" vertical="center" wrapText="1"/>
      <protection/>
    </xf>
    <xf numFmtId="180" fontId="8" fillId="0" borderId="0" xfId="54" applyNumberFormat="1" applyFont="1" applyFill="1" applyAlignment="1">
      <alignment horizontal="center" vertical="center"/>
      <protection/>
    </xf>
    <xf numFmtId="0" fontId="16" fillId="0" borderId="0" xfId="0" applyFont="1" applyFill="1" applyAlignment="1">
      <alignment/>
    </xf>
    <xf numFmtId="180" fontId="3" fillId="0" borderId="10" xfId="55" applyNumberFormat="1" applyFont="1" applyFill="1" applyBorder="1" applyAlignment="1">
      <alignment horizontal="center" vertical="center" wrapText="1"/>
      <protection/>
    </xf>
    <xf numFmtId="49" fontId="14" fillId="0" borderId="10" xfId="53" applyNumberFormat="1" applyFont="1" applyFill="1" applyBorder="1" applyAlignment="1">
      <alignment horizontal="left" vertical="top" wrapText="1"/>
      <protection/>
    </xf>
    <xf numFmtId="180" fontId="79" fillId="0" borderId="10" xfId="0" applyNumberFormat="1" applyFont="1" applyFill="1" applyBorder="1" applyAlignment="1">
      <alignment horizontal="center" vertical="center" wrapText="1"/>
    </xf>
    <xf numFmtId="180" fontId="79" fillId="0" borderId="10" xfId="53" applyNumberFormat="1" applyFont="1" applyFill="1" applyBorder="1" applyAlignment="1">
      <alignment horizontal="center" vertical="center" wrapText="1"/>
      <protection/>
    </xf>
    <xf numFmtId="181" fontId="14" fillId="0" borderId="10" xfId="53" applyNumberFormat="1" applyFont="1" applyFill="1" applyBorder="1" applyAlignment="1">
      <alignment horizontal="left" vertical="top" wrapText="1"/>
      <protection/>
    </xf>
    <xf numFmtId="180" fontId="25" fillId="0" borderId="10" xfId="53" applyNumberFormat="1" applyFont="1" applyFill="1" applyBorder="1" applyAlignment="1">
      <alignment horizontal="center" vertical="center" wrapText="1"/>
      <protection/>
    </xf>
    <xf numFmtId="180" fontId="26" fillId="0" borderId="10" xfId="53" applyNumberFormat="1"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0" fontId="32" fillId="0" borderId="0" xfId="53" applyFont="1" applyFill="1" applyAlignment="1">
      <alignment horizontal="center" wrapText="1"/>
      <protection/>
    </xf>
    <xf numFmtId="0" fontId="68" fillId="0" borderId="0" xfId="0" applyFont="1" applyFill="1" applyAlignment="1">
      <alignment/>
    </xf>
    <xf numFmtId="0" fontId="20" fillId="0" borderId="0" xfId="0" applyFont="1" applyFill="1" applyAlignment="1">
      <alignment/>
    </xf>
    <xf numFmtId="0" fontId="20" fillId="0" borderId="0" xfId="0" applyFont="1" applyFill="1" applyAlignment="1">
      <alignment vertical="center"/>
    </xf>
    <xf numFmtId="0" fontId="21" fillId="0" borderId="0" xfId="0" applyFont="1" applyFill="1" applyAlignment="1">
      <alignment/>
    </xf>
    <xf numFmtId="0" fontId="16" fillId="0" borderId="0" xfId="0" applyFont="1" applyFill="1" applyAlignment="1">
      <alignment/>
    </xf>
    <xf numFmtId="0" fontId="16" fillId="0" borderId="0" xfId="0" applyFont="1" applyFill="1" applyAlignment="1">
      <alignment/>
    </xf>
    <xf numFmtId="0" fontId="16" fillId="0" borderId="0" xfId="0" applyFont="1" applyFill="1" applyAlignment="1">
      <alignment/>
    </xf>
    <xf numFmtId="0" fontId="0" fillId="0" borderId="0" xfId="0" applyFill="1" applyAlignment="1">
      <alignment vertical="center"/>
    </xf>
    <xf numFmtId="0" fontId="21" fillId="0" borderId="12" xfId="0" applyFont="1" applyFill="1" applyBorder="1" applyAlignment="1">
      <alignment/>
    </xf>
    <xf numFmtId="0" fontId="0" fillId="0" borderId="0" xfId="0" applyFill="1" applyBorder="1" applyAlignment="1">
      <alignment/>
    </xf>
    <xf numFmtId="181" fontId="14" fillId="0" borderId="10" xfId="53" applyNumberFormat="1" applyFont="1" applyFill="1" applyBorder="1" applyAlignment="1">
      <alignment vertical="top" wrapText="1"/>
      <protection/>
    </xf>
    <xf numFmtId="181" fontId="14" fillId="0" borderId="10" xfId="53" applyNumberFormat="1" applyFont="1" applyFill="1" applyBorder="1" applyAlignment="1">
      <alignment vertical="top" wrapText="1"/>
      <protection/>
    </xf>
    <xf numFmtId="49" fontId="17" fillId="0" borderId="10" xfId="53" applyNumberFormat="1" applyFont="1" applyFill="1" applyBorder="1" applyAlignment="1">
      <alignment vertical="center" wrapText="1"/>
      <protection/>
    </xf>
    <xf numFmtId="0" fontId="14" fillId="0" borderId="10" xfId="53" applyFont="1" applyFill="1" applyBorder="1" applyAlignment="1">
      <alignment vertical="top" wrapText="1"/>
      <protection/>
    </xf>
    <xf numFmtId="49" fontId="17" fillId="0" borderId="10" xfId="53" applyNumberFormat="1" applyFont="1" applyFill="1" applyBorder="1" applyAlignment="1">
      <alignment vertical="center" wrapText="1"/>
      <protection/>
    </xf>
    <xf numFmtId="0" fontId="3" fillId="0" borderId="10" xfId="53" applyFont="1" applyFill="1" applyBorder="1" applyAlignment="1">
      <alignment vertical="top" wrapText="1"/>
      <protection/>
    </xf>
    <xf numFmtId="181" fontId="17" fillId="0" borderId="10" xfId="53" applyNumberFormat="1" applyFont="1" applyFill="1" applyBorder="1" applyAlignment="1">
      <alignment vertical="center" wrapText="1"/>
      <protection/>
    </xf>
    <xf numFmtId="181" fontId="14" fillId="0" borderId="10" xfId="53" applyNumberFormat="1" applyFont="1" applyFill="1" applyBorder="1" applyAlignment="1">
      <alignment vertical="center" wrapText="1"/>
      <protection/>
    </xf>
    <xf numFmtId="181" fontId="3" fillId="0" borderId="10" xfId="53" applyNumberFormat="1" applyFont="1" applyFill="1" applyBorder="1" applyAlignment="1">
      <alignment vertical="top" wrapText="1"/>
      <protection/>
    </xf>
    <xf numFmtId="181" fontId="79" fillId="0" borderId="10" xfId="53" applyNumberFormat="1" applyFont="1" applyFill="1" applyBorder="1" applyAlignment="1">
      <alignment vertical="top" wrapText="1"/>
      <protection/>
    </xf>
    <xf numFmtId="180" fontId="3" fillId="0" borderId="13" xfId="53" applyNumberFormat="1" applyFont="1" applyFill="1" applyBorder="1" applyAlignment="1">
      <alignment horizontal="center" vertical="center" wrapText="1"/>
      <protection/>
    </xf>
    <xf numFmtId="180" fontId="3" fillId="0" borderId="14" xfId="53" applyNumberFormat="1" applyFont="1" applyFill="1" applyBorder="1" applyAlignment="1">
      <alignment horizontal="center" vertical="center" wrapText="1"/>
      <protection/>
    </xf>
    <xf numFmtId="181" fontId="14" fillId="0" borderId="13" xfId="53" applyNumberFormat="1" applyFont="1" applyFill="1" applyBorder="1" applyAlignment="1">
      <alignment vertical="top" wrapText="1"/>
      <protection/>
    </xf>
    <xf numFmtId="181" fontId="3" fillId="0" borderId="13" xfId="53" applyNumberFormat="1" applyFont="1" applyFill="1" applyBorder="1" applyAlignment="1">
      <alignment vertical="top" wrapText="1"/>
      <protection/>
    </xf>
    <xf numFmtId="181" fontId="3" fillId="0" borderId="14" xfId="53" applyNumberFormat="1" applyFont="1" applyFill="1" applyBorder="1" applyAlignment="1">
      <alignment vertical="top" wrapText="1"/>
      <protection/>
    </xf>
    <xf numFmtId="181" fontId="17" fillId="0" borderId="13" xfId="53" applyNumberFormat="1" applyFont="1" applyFill="1" applyBorder="1" applyAlignment="1">
      <alignment vertical="center" wrapText="1"/>
      <protection/>
    </xf>
    <xf numFmtId="181" fontId="17" fillId="0" borderId="14" xfId="53" applyNumberFormat="1" applyFont="1" applyFill="1" applyBorder="1" applyAlignment="1">
      <alignment vertical="center" wrapText="1"/>
      <protection/>
    </xf>
    <xf numFmtId="181" fontId="14" fillId="0" borderId="13" xfId="53" applyNumberFormat="1" applyFont="1" applyFill="1" applyBorder="1" applyAlignment="1">
      <alignment vertical="top" wrapText="1"/>
      <protection/>
    </xf>
    <xf numFmtId="181" fontId="14" fillId="0" borderId="14" xfId="53" applyNumberFormat="1" applyFont="1" applyFill="1" applyBorder="1" applyAlignment="1">
      <alignment vertical="top" wrapText="1"/>
      <protection/>
    </xf>
    <xf numFmtId="49" fontId="17" fillId="0" borderId="13" xfId="53" applyNumberFormat="1" applyFont="1" applyFill="1" applyBorder="1" applyAlignment="1">
      <alignment vertical="center" wrapText="1"/>
      <protection/>
    </xf>
    <xf numFmtId="0" fontId="3" fillId="0" borderId="11" xfId="0" applyFont="1" applyFill="1" applyBorder="1" applyAlignment="1">
      <alignment horizontal="center" vertical="center" wrapText="1"/>
    </xf>
    <xf numFmtId="0" fontId="6" fillId="0" borderId="13" xfId="53" applyFont="1" applyFill="1" applyBorder="1" applyAlignment="1">
      <alignment vertical="center" wrapText="1"/>
      <protection/>
    </xf>
    <xf numFmtId="0" fontId="6" fillId="0" borderId="14" xfId="53" applyFont="1" applyFill="1" applyBorder="1" applyAlignment="1">
      <alignment vertical="center" wrapText="1"/>
      <protection/>
    </xf>
    <xf numFmtId="0" fontId="3" fillId="0" borderId="13" xfId="53" applyFont="1" applyFill="1" applyBorder="1" applyAlignment="1">
      <alignment vertical="top" wrapText="1" shrinkToFit="1"/>
      <protection/>
    </xf>
    <xf numFmtId="0" fontId="3" fillId="0" borderId="14" xfId="53" applyFont="1" applyFill="1" applyBorder="1" applyAlignment="1">
      <alignment vertical="top" wrapText="1" shrinkToFit="1"/>
      <protection/>
    </xf>
    <xf numFmtId="0" fontId="3" fillId="0" borderId="10" xfId="53" applyFont="1" applyFill="1" applyBorder="1" applyAlignment="1">
      <alignment vertical="top" wrapText="1" shrinkToFit="1"/>
      <protection/>
    </xf>
    <xf numFmtId="0" fontId="14" fillId="0" borderId="10" xfId="53" applyFont="1" applyFill="1" applyBorder="1" applyAlignment="1">
      <alignment vertical="center" wrapText="1" shrinkToFit="1"/>
      <protection/>
    </xf>
    <xf numFmtId="0" fontId="79" fillId="0" borderId="13" xfId="53" applyFont="1" applyFill="1" applyBorder="1" applyAlignment="1">
      <alignment vertical="top" wrapText="1" shrinkToFit="1"/>
      <protection/>
    </xf>
    <xf numFmtId="0" fontId="79" fillId="0" borderId="14" xfId="53" applyFont="1" applyFill="1" applyBorder="1" applyAlignment="1">
      <alignment vertical="top" wrapText="1" shrinkToFit="1"/>
      <protection/>
    </xf>
    <xf numFmtId="0" fontId="14" fillId="0" borderId="13" xfId="53" applyFont="1" applyFill="1" applyBorder="1" applyAlignment="1">
      <alignment vertical="top" wrapText="1" shrinkToFit="1"/>
      <protection/>
    </xf>
    <xf numFmtId="0" fontId="14" fillId="0" borderId="14" xfId="53" applyFont="1" applyFill="1" applyBorder="1" applyAlignment="1">
      <alignment vertical="top" wrapText="1" shrinkToFit="1"/>
      <protection/>
    </xf>
    <xf numFmtId="0" fontId="14" fillId="0" borderId="10" xfId="53" applyFont="1" applyFill="1" applyBorder="1" applyAlignment="1">
      <alignment vertical="top" wrapText="1" shrinkToFit="1"/>
      <protection/>
    </xf>
    <xf numFmtId="0" fontId="79" fillId="0" borderId="10" xfId="53" applyFont="1" applyFill="1" applyBorder="1" applyAlignment="1">
      <alignment vertical="top" wrapText="1" shrinkToFit="1"/>
      <protection/>
    </xf>
    <xf numFmtId="49" fontId="14" fillId="0" borderId="10" xfId="53" applyNumberFormat="1" applyFont="1" applyFill="1" applyBorder="1" applyAlignment="1">
      <alignment vertical="center" shrinkToFit="1"/>
      <protection/>
    </xf>
    <xf numFmtId="0" fontId="79" fillId="0" borderId="10" xfId="53" applyFont="1" applyFill="1" applyBorder="1" applyAlignment="1">
      <alignment vertical="center" wrapText="1" shrinkToFit="1"/>
      <protection/>
    </xf>
    <xf numFmtId="0" fontId="14" fillId="0" borderId="13" xfId="53" applyFont="1" applyFill="1" applyBorder="1" applyAlignment="1">
      <alignment vertical="center" wrapText="1" shrinkToFit="1"/>
      <protection/>
    </xf>
    <xf numFmtId="0" fontId="14" fillId="0" borderId="14" xfId="53" applyFont="1" applyFill="1" applyBorder="1" applyAlignment="1">
      <alignment vertical="center" wrapText="1" shrinkToFit="1"/>
      <protection/>
    </xf>
    <xf numFmtId="180" fontId="14" fillId="0" borderId="13" xfId="53" applyNumberFormat="1" applyFont="1" applyFill="1" applyBorder="1" applyAlignment="1">
      <alignment horizontal="center" vertical="center" wrapText="1"/>
      <protection/>
    </xf>
    <xf numFmtId="180" fontId="14" fillId="0" borderId="14" xfId="53" applyNumberFormat="1" applyFont="1" applyFill="1" applyBorder="1" applyAlignment="1">
      <alignment horizontal="center" vertical="center" wrapText="1"/>
      <protection/>
    </xf>
    <xf numFmtId="0" fontId="14" fillId="0" borderId="13" xfId="54" applyFont="1" applyFill="1" applyBorder="1" applyAlignment="1">
      <alignment vertical="top" wrapText="1"/>
      <protection/>
    </xf>
    <xf numFmtId="0" fontId="14" fillId="0" borderId="10" xfId="54" applyFont="1" applyFill="1" applyBorder="1" applyAlignment="1">
      <alignment vertical="top" wrapText="1"/>
      <protection/>
    </xf>
    <xf numFmtId="0" fontId="14" fillId="0" borderId="10" xfId="54" applyFont="1" applyFill="1" applyBorder="1" applyAlignment="1">
      <alignment vertical="top" wrapText="1"/>
      <protection/>
    </xf>
    <xf numFmtId="0" fontId="79" fillId="0" borderId="10" xfId="54" applyFont="1" applyFill="1" applyBorder="1" applyAlignment="1">
      <alignment vertical="top" wrapText="1"/>
      <protection/>
    </xf>
    <xf numFmtId="49" fontId="79" fillId="0" borderId="13" xfId="54" applyNumberFormat="1" applyFont="1" applyFill="1" applyBorder="1" applyAlignment="1">
      <alignment vertical="top" wrapText="1"/>
      <protection/>
    </xf>
    <xf numFmtId="49" fontId="79" fillId="0" borderId="10" xfId="54" applyNumberFormat="1" applyFont="1" applyFill="1" applyBorder="1" applyAlignment="1">
      <alignment vertical="top" wrapText="1"/>
      <protection/>
    </xf>
    <xf numFmtId="0" fontId="14" fillId="0" borderId="13" xfId="54" applyFont="1" applyFill="1" applyBorder="1" applyAlignment="1">
      <alignment vertical="top" wrapText="1"/>
      <protection/>
    </xf>
    <xf numFmtId="0" fontId="79" fillId="0" borderId="13" xfId="54" applyFont="1" applyFill="1" applyBorder="1" applyAlignment="1">
      <alignment vertical="top" wrapText="1"/>
      <protection/>
    </xf>
    <xf numFmtId="0" fontId="79" fillId="0" borderId="14" xfId="54" applyFont="1" applyFill="1" applyBorder="1" applyAlignment="1">
      <alignment vertical="top" wrapText="1"/>
      <protection/>
    </xf>
    <xf numFmtId="49" fontId="17" fillId="0" borderId="13" xfId="54" applyNumberFormat="1" applyFont="1" applyFill="1" applyBorder="1" applyAlignment="1">
      <alignment vertical="center" wrapText="1" shrinkToFit="1"/>
      <protection/>
    </xf>
    <xf numFmtId="49" fontId="17" fillId="0" borderId="10" xfId="54" applyNumberFormat="1" applyFont="1" applyFill="1" applyBorder="1" applyAlignment="1">
      <alignment vertical="center" wrapText="1" shrinkToFit="1"/>
      <protection/>
    </xf>
    <xf numFmtId="180" fontId="80" fillId="0" borderId="10" xfId="53" applyNumberFormat="1" applyFont="1" applyFill="1" applyBorder="1" applyAlignment="1">
      <alignment horizontal="center" vertical="center" wrapText="1"/>
      <protection/>
    </xf>
    <xf numFmtId="49" fontId="3" fillId="37" borderId="11" xfId="53" applyNumberFormat="1" applyFont="1" applyFill="1" applyBorder="1" applyAlignment="1">
      <alignment horizontal="center" vertical="top" wrapText="1"/>
      <protection/>
    </xf>
    <xf numFmtId="49" fontId="3" fillId="37" borderId="10" xfId="53" applyNumberFormat="1" applyFont="1" applyFill="1" applyBorder="1" applyAlignment="1">
      <alignment horizontal="center" vertical="top" wrapText="1"/>
      <protection/>
    </xf>
    <xf numFmtId="49" fontId="3" fillId="37" borderId="11" xfId="0" applyNumberFormat="1" applyFont="1" applyFill="1" applyBorder="1" applyAlignment="1">
      <alignment horizontal="center" vertical="top" wrapText="1"/>
    </xf>
    <xf numFmtId="49" fontId="3" fillId="37" borderId="10" xfId="54" applyNumberFormat="1" applyFont="1" applyFill="1" applyBorder="1" applyAlignment="1">
      <alignment horizontal="center" vertical="center" wrapText="1"/>
      <protection/>
    </xf>
    <xf numFmtId="180" fontId="3" fillId="38" borderId="10" xfId="53" applyNumberFormat="1" applyFont="1" applyFill="1" applyBorder="1" applyAlignment="1">
      <alignment horizontal="center" vertical="center" wrapText="1"/>
      <protection/>
    </xf>
    <xf numFmtId="0" fontId="3" fillId="38" borderId="10" xfId="53" applyFont="1" applyFill="1" applyBorder="1" applyAlignment="1">
      <alignment horizontal="center" vertical="center" wrapText="1"/>
      <protection/>
    </xf>
    <xf numFmtId="0" fontId="29" fillId="38" borderId="15" xfId="0" applyFont="1" applyFill="1" applyBorder="1" applyAlignment="1">
      <alignment horizontal="center" vertical="center"/>
    </xf>
    <xf numFmtId="49" fontId="3" fillId="38" borderId="15" xfId="53" applyNumberFormat="1" applyFont="1" applyFill="1" applyBorder="1" applyAlignment="1">
      <alignment horizontal="center" vertical="top" wrapText="1"/>
      <protection/>
    </xf>
    <xf numFmtId="49" fontId="36" fillId="38" borderId="15" xfId="53" applyNumberFormat="1" applyFont="1" applyFill="1" applyBorder="1" applyAlignment="1">
      <alignment horizontal="center" vertical="top" wrapText="1"/>
      <protection/>
    </xf>
    <xf numFmtId="180" fontId="14" fillId="38" borderId="10" xfId="53" applyNumberFormat="1" applyFont="1" applyFill="1" applyBorder="1" applyAlignment="1">
      <alignment horizontal="center" vertical="center" wrapText="1"/>
      <protection/>
    </xf>
    <xf numFmtId="0" fontId="3" fillId="38" borderId="11" xfId="53" applyFont="1" applyFill="1" applyBorder="1" applyAlignment="1">
      <alignment vertical="center" wrapText="1"/>
      <protection/>
    </xf>
    <xf numFmtId="49" fontId="3" fillId="38" borderId="11" xfId="53" applyNumberFormat="1" applyFont="1" applyFill="1" applyBorder="1" applyAlignment="1">
      <alignment vertical="top" wrapText="1"/>
      <protection/>
    </xf>
    <xf numFmtId="0" fontId="3" fillId="38" borderId="10" xfId="53" applyFont="1" applyFill="1" applyBorder="1" applyAlignment="1">
      <alignment vertical="center" wrapText="1"/>
      <protection/>
    </xf>
    <xf numFmtId="49" fontId="36" fillId="38" borderId="10" xfId="53" applyNumberFormat="1" applyFont="1" applyFill="1" applyBorder="1" applyAlignment="1">
      <alignment horizontal="center" vertical="top" wrapText="1"/>
      <protection/>
    </xf>
    <xf numFmtId="49" fontId="3" fillId="38" borderId="10" xfId="53" applyNumberFormat="1" applyFont="1" applyFill="1" applyBorder="1" applyAlignment="1">
      <alignment horizontal="center" vertical="top" wrapText="1"/>
      <protection/>
    </xf>
    <xf numFmtId="180" fontId="3" fillId="38" borderId="13" xfId="53" applyNumberFormat="1" applyFont="1" applyFill="1" applyBorder="1" applyAlignment="1">
      <alignment horizontal="center" vertical="center" wrapText="1"/>
      <protection/>
    </xf>
    <xf numFmtId="0" fontId="3" fillId="38" borderId="15" xfId="53" applyFont="1" applyFill="1" applyBorder="1" applyAlignment="1">
      <alignment horizontal="center" vertical="center" wrapText="1"/>
      <protection/>
    </xf>
    <xf numFmtId="49" fontId="3" fillId="38" borderId="11" xfId="53" applyNumberFormat="1" applyFont="1" applyFill="1" applyBorder="1" applyAlignment="1">
      <alignment horizontal="center" vertical="top" wrapText="1"/>
      <protection/>
    </xf>
    <xf numFmtId="49" fontId="3" fillId="38" borderId="11" xfId="0" applyNumberFormat="1" applyFont="1" applyFill="1" applyBorder="1" applyAlignment="1">
      <alignment horizontal="center" vertical="top" wrapText="1"/>
    </xf>
    <xf numFmtId="49" fontId="36" fillId="38" borderId="11" xfId="53" applyNumberFormat="1" applyFont="1" applyFill="1" applyBorder="1" applyAlignment="1">
      <alignment horizontal="center" vertical="top" wrapText="1"/>
      <protection/>
    </xf>
    <xf numFmtId="180" fontId="14" fillId="0" borderId="13" xfId="54" applyNumberFormat="1" applyFont="1" applyFill="1" applyBorder="1" applyAlignment="1">
      <alignment horizontal="center" vertical="center" wrapText="1"/>
      <protection/>
    </xf>
    <xf numFmtId="49" fontId="36" fillId="38" borderId="10" xfId="54" applyNumberFormat="1" applyFont="1" applyFill="1" applyBorder="1" applyAlignment="1">
      <alignment horizontal="center" vertical="center" wrapText="1"/>
      <protection/>
    </xf>
    <xf numFmtId="180" fontId="19" fillId="0" borderId="16" xfId="54" applyNumberFormat="1" applyFont="1" applyFill="1" applyBorder="1" applyAlignment="1">
      <alignment horizontal="center" vertical="center" wrapText="1"/>
      <protection/>
    </xf>
    <xf numFmtId="180" fontId="11" fillId="0" borderId="16" xfId="54" applyNumberFormat="1" applyFont="1" applyFill="1" applyBorder="1" applyAlignment="1">
      <alignment horizontal="center" vertical="center" wrapText="1"/>
      <protection/>
    </xf>
    <xf numFmtId="180" fontId="19" fillId="0" borderId="17" xfId="54" applyNumberFormat="1" applyFont="1" applyFill="1" applyBorder="1" applyAlignment="1">
      <alignment horizontal="center" vertical="center" wrapText="1"/>
      <protection/>
    </xf>
    <xf numFmtId="180" fontId="81" fillId="0" borderId="17" xfId="0" applyNumberFormat="1" applyFont="1" applyFill="1" applyBorder="1" applyAlignment="1">
      <alignment horizontal="center" vertical="center" wrapText="1"/>
    </xf>
    <xf numFmtId="180" fontId="72" fillId="0" borderId="0" xfId="57" applyNumberFormat="1" applyFont="1" applyBorder="1" applyAlignment="1">
      <alignment shrinkToFit="1"/>
      <protection/>
    </xf>
    <xf numFmtId="180" fontId="14" fillId="0" borderId="13" xfId="53" applyNumberFormat="1" applyFont="1" applyFill="1" applyBorder="1" applyAlignment="1">
      <alignment horizontal="center" vertical="center" wrapText="1"/>
      <protection/>
    </xf>
    <xf numFmtId="180" fontId="14" fillId="0" borderId="13" xfId="54" applyNumberFormat="1" applyFont="1" applyFill="1" applyBorder="1" applyAlignment="1">
      <alignment horizontal="center" vertical="center" wrapText="1"/>
      <protection/>
    </xf>
    <xf numFmtId="0" fontId="12" fillId="0"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vertical="center"/>
    </xf>
    <xf numFmtId="0" fontId="9" fillId="0" borderId="18" xfId="53" applyFont="1" applyFill="1" applyBorder="1" applyAlignment="1">
      <alignment horizontal="center" vertical="center"/>
      <protection/>
    </xf>
    <xf numFmtId="0" fontId="9" fillId="0" borderId="19" xfId="54" applyFont="1" applyFill="1" applyBorder="1" applyAlignment="1">
      <alignment vertical="center" wrapText="1"/>
      <protection/>
    </xf>
    <xf numFmtId="49" fontId="9" fillId="0" borderId="19" xfId="53" applyNumberFormat="1" applyFont="1" applyFill="1" applyBorder="1" applyAlignment="1">
      <alignment horizontal="center" vertical="center"/>
      <protection/>
    </xf>
    <xf numFmtId="180" fontId="9" fillId="0" borderId="19" xfId="54" applyNumberFormat="1" applyFont="1" applyFill="1" applyBorder="1" applyAlignment="1">
      <alignment horizontal="center" vertical="center"/>
      <protection/>
    </xf>
    <xf numFmtId="180" fontId="4" fillId="0" borderId="0" xfId="53" applyNumberFormat="1" applyFont="1" applyFill="1" applyAlignment="1">
      <alignment vertical="center" wrapText="1"/>
      <protection/>
    </xf>
    <xf numFmtId="1" fontId="9" fillId="0" borderId="10" xfId="53" applyNumberFormat="1" applyFont="1" applyFill="1" applyBorder="1" applyAlignment="1">
      <alignment horizontal="center" vertical="center" wrapText="1"/>
      <protection/>
    </xf>
    <xf numFmtId="180" fontId="9" fillId="0" borderId="10" xfId="54" applyNumberFormat="1" applyFont="1" applyFill="1" applyBorder="1" applyAlignment="1">
      <alignment horizontal="center" vertical="center" wrapText="1"/>
      <protection/>
    </xf>
    <xf numFmtId="1" fontId="82" fillId="0" borderId="10" xfId="0" applyNumberFormat="1" applyFont="1" applyFill="1" applyBorder="1" applyAlignment="1">
      <alignment vertical="center" wrapText="1"/>
    </xf>
    <xf numFmtId="1" fontId="82" fillId="0" borderId="10" xfId="0" applyNumberFormat="1" applyFont="1" applyFill="1" applyBorder="1" applyAlignment="1">
      <alignment horizontal="justify" vertical="center" wrapText="1"/>
    </xf>
    <xf numFmtId="180" fontId="16" fillId="0" borderId="0" xfId="0" applyNumberFormat="1" applyFont="1" applyFill="1" applyAlignment="1">
      <alignment horizontal="right" vertical="center"/>
    </xf>
    <xf numFmtId="4" fontId="37" fillId="39" borderId="20" xfId="58" applyNumberFormat="1" applyFont="1" applyFill="1" applyBorder="1" applyAlignment="1">
      <alignment horizontal="right" vertical="top"/>
      <protection/>
    </xf>
    <xf numFmtId="4" fontId="37" fillId="40" borderId="20" xfId="58" applyNumberFormat="1" applyFont="1" applyFill="1" applyBorder="1" applyAlignment="1">
      <alignment horizontal="right" vertical="top"/>
      <protection/>
    </xf>
    <xf numFmtId="1" fontId="37" fillId="0" borderId="20" xfId="58" applyNumberFormat="1" applyFont="1" applyBorder="1" applyAlignment="1">
      <alignment horizontal="left" vertical="top" wrapText="1" indent="4"/>
      <protection/>
    </xf>
    <xf numFmtId="0" fontId="37" fillId="0" borderId="20" xfId="58" applyNumberFormat="1" applyFont="1" applyBorder="1" applyAlignment="1">
      <alignment horizontal="left" vertical="top" wrapText="1"/>
      <protection/>
    </xf>
    <xf numFmtId="4" fontId="37" fillId="0" borderId="20" xfId="58" applyNumberFormat="1" applyFont="1" applyBorder="1" applyAlignment="1">
      <alignment horizontal="right" vertical="top"/>
      <protection/>
    </xf>
    <xf numFmtId="0" fontId="37" fillId="0" borderId="20" xfId="58" applyNumberFormat="1" applyFont="1" applyBorder="1" applyAlignment="1">
      <alignment horizontal="right" vertical="top"/>
      <protection/>
    </xf>
    <xf numFmtId="0" fontId="37" fillId="38" borderId="20" xfId="58" applyNumberFormat="1" applyFont="1" applyFill="1" applyBorder="1" applyAlignment="1">
      <alignment horizontal="left" vertical="top" wrapText="1"/>
      <protection/>
    </xf>
    <xf numFmtId="180" fontId="16" fillId="0" borderId="0" xfId="0" applyNumberFormat="1" applyFont="1" applyFill="1" applyAlignment="1">
      <alignment horizontal="center" vertical="center"/>
    </xf>
    <xf numFmtId="49" fontId="9" fillId="0" borderId="10" xfId="53" applyNumberFormat="1" applyFont="1" applyFill="1" applyBorder="1" applyAlignment="1">
      <alignment horizontal="center" vertical="top" wrapText="1"/>
      <protection/>
    </xf>
    <xf numFmtId="180" fontId="3" fillId="0" borderId="0" xfId="53" applyNumberFormat="1" applyFont="1" applyFill="1" applyBorder="1" applyAlignment="1">
      <alignment horizontal="center" vertical="center" wrapText="1"/>
      <protection/>
    </xf>
    <xf numFmtId="49" fontId="16" fillId="0" borderId="0" xfId="0" applyNumberFormat="1" applyFont="1" applyFill="1" applyAlignment="1">
      <alignment/>
    </xf>
    <xf numFmtId="180" fontId="16" fillId="0" borderId="0" xfId="0" applyNumberFormat="1" applyFont="1" applyFill="1" applyAlignment="1">
      <alignment/>
    </xf>
    <xf numFmtId="0" fontId="9" fillId="0" borderId="0" xfId="53" applyFont="1" applyFill="1" applyBorder="1" applyAlignment="1">
      <alignment vertical="center" wrapText="1"/>
      <protection/>
    </xf>
    <xf numFmtId="0" fontId="9" fillId="0" borderId="0" xfId="0" applyFont="1" applyFill="1" applyBorder="1" applyAlignment="1">
      <alignment wrapText="1"/>
    </xf>
    <xf numFmtId="180" fontId="9" fillId="0" borderId="0" xfId="53" applyNumberFormat="1" applyFont="1" applyFill="1" applyAlignment="1">
      <alignment horizontal="center" vertical="center"/>
      <protection/>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vertical="center" wrapText="1"/>
    </xf>
    <xf numFmtId="1" fontId="9" fillId="0" borderId="0" xfId="0" applyNumberFormat="1" applyFont="1" applyFill="1" applyAlignment="1">
      <alignment vertical="center" wrapText="1"/>
    </xf>
    <xf numFmtId="180" fontId="38" fillId="0" borderId="0" xfId="53" applyNumberFormat="1" applyFont="1" applyFill="1" applyAlignment="1">
      <alignment horizontal="right" vertical="center"/>
      <protection/>
    </xf>
    <xf numFmtId="0" fontId="9" fillId="0" borderId="15" xfId="53" applyFont="1" applyFill="1" applyBorder="1" applyAlignment="1">
      <alignment vertical="center" wrapText="1"/>
      <protection/>
    </xf>
    <xf numFmtId="49" fontId="9" fillId="0" borderId="15" xfId="53" applyNumberFormat="1" applyFont="1" applyFill="1" applyBorder="1" applyAlignment="1">
      <alignment horizontal="center" vertical="center"/>
      <protection/>
    </xf>
    <xf numFmtId="180" fontId="9" fillId="0" borderId="15" xfId="53" applyNumberFormat="1" applyFont="1" applyFill="1" applyBorder="1" applyAlignment="1">
      <alignment horizontal="center" vertical="center"/>
      <protection/>
    </xf>
    <xf numFmtId="1" fontId="9" fillId="0" borderId="21" xfId="53" applyNumberFormat="1" applyFont="1" applyFill="1" applyBorder="1" applyAlignment="1">
      <alignment horizontal="center" vertical="center" wrapText="1"/>
      <protection/>
    </xf>
    <xf numFmtId="3" fontId="9" fillId="0" borderId="21" xfId="53" applyNumberFormat="1" applyFont="1" applyFill="1" applyBorder="1" applyAlignment="1">
      <alignment horizontal="center" vertical="center"/>
      <protection/>
    </xf>
    <xf numFmtId="180" fontId="9" fillId="0" borderId="21" xfId="53" applyNumberFormat="1" applyFont="1" applyFill="1" applyBorder="1" applyAlignment="1">
      <alignment horizontal="center" vertical="center"/>
      <protection/>
    </xf>
    <xf numFmtId="180" fontId="9" fillId="0" borderId="14" xfId="53" applyNumberFormat="1" applyFont="1" applyFill="1" applyBorder="1" applyAlignment="1">
      <alignment horizontal="center" vertical="center"/>
      <protection/>
    </xf>
    <xf numFmtId="180" fontId="9" fillId="0" borderId="21" xfId="0" applyNumberFormat="1" applyFont="1" applyFill="1" applyBorder="1" applyAlignment="1">
      <alignment horizontal="center" vertical="center"/>
    </xf>
    <xf numFmtId="180" fontId="9" fillId="0" borderId="22" xfId="0" applyNumberFormat="1" applyFont="1" applyFill="1" applyBorder="1" applyAlignment="1">
      <alignment horizontal="center" vertical="center"/>
    </xf>
    <xf numFmtId="180" fontId="9" fillId="0" borderId="14" xfId="0" applyNumberFormat="1" applyFont="1" applyFill="1" applyBorder="1" applyAlignment="1">
      <alignment horizontal="center" vertical="center"/>
    </xf>
    <xf numFmtId="180" fontId="9" fillId="0" borderId="21" xfId="54" applyNumberFormat="1" applyFont="1" applyFill="1" applyBorder="1" applyAlignment="1">
      <alignment horizontal="center" vertical="center"/>
      <protection/>
    </xf>
    <xf numFmtId="180" fontId="9" fillId="0" borderId="23" xfId="0" applyNumberFormat="1" applyFont="1" applyFill="1" applyBorder="1" applyAlignment="1">
      <alignment horizontal="center" vertical="center"/>
    </xf>
    <xf numFmtId="180" fontId="9" fillId="0" borderId="15" xfId="0" applyNumberFormat="1" applyFont="1" applyFill="1" applyBorder="1" applyAlignment="1">
      <alignment horizontal="center" vertical="center"/>
    </xf>
    <xf numFmtId="180" fontId="9" fillId="0" borderId="19" xfId="0" applyNumberFormat="1" applyFont="1" applyFill="1" applyBorder="1" applyAlignment="1">
      <alignment horizontal="center" vertical="center"/>
    </xf>
    <xf numFmtId="180" fontId="9" fillId="0" borderId="19" xfId="53" applyNumberFormat="1" applyFont="1" applyFill="1" applyBorder="1" applyAlignment="1">
      <alignment horizontal="center" vertical="center"/>
      <protection/>
    </xf>
    <xf numFmtId="2" fontId="82" fillId="0" borderId="0" xfId="0" applyNumberFormat="1" applyFont="1" applyFill="1" applyAlignment="1">
      <alignment horizontal="right" vertical="center" wrapText="1"/>
    </xf>
    <xf numFmtId="2" fontId="82" fillId="0" borderId="0" xfId="0" applyNumberFormat="1" applyFont="1" applyFill="1" applyAlignment="1">
      <alignment horizontal="center" vertical="center" wrapText="1"/>
    </xf>
    <xf numFmtId="2" fontId="82" fillId="0" borderId="0" xfId="0" applyNumberFormat="1" applyFont="1" applyFill="1" applyAlignment="1">
      <alignment vertical="center" wrapText="1"/>
    </xf>
    <xf numFmtId="1" fontId="82" fillId="0" borderId="0" xfId="0" applyNumberFormat="1" applyFont="1" applyFill="1" applyAlignment="1">
      <alignment vertical="center" wrapText="1"/>
    </xf>
    <xf numFmtId="49" fontId="82" fillId="0" borderId="10" xfId="0" applyNumberFormat="1" applyFont="1" applyFill="1" applyBorder="1" applyAlignment="1">
      <alignment horizontal="center" vertical="center" wrapText="1"/>
    </xf>
    <xf numFmtId="180" fontId="9" fillId="0" borderId="13" xfId="53" applyNumberFormat="1" applyFont="1" applyFill="1" applyBorder="1" applyAlignment="1">
      <alignment horizontal="center" vertical="center"/>
      <protection/>
    </xf>
    <xf numFmtId="180" fontId="9" fillId="0" borderId="10" xfId="53" applyNumberFormat="1" applyFont="1" applyFill="1" applyBorder="1" applyAlignment="1">
      <alignment horizontal="center" vertical="center" shrinkToFit="1"/>
      <protection/>
    </xf>
    <xf numFmtId="180" fontId="9" fillId="0" borderId="21" xfId="53" applyNumberFormat="1" applyFont="1" applyFill="1" applyBorder="1" applyAlignment="1">
      <alignment horizontal="center" vertical="center" shrinkToFit="1"/>
      <protection/>
    </xf>
    <xf numFmtId="1" fontId="82" fillId="0" borderId="10" xfId="0" applyNumberFormat="1" applyFont="1" applyFill="1" applyBorder="1" applyAlignment="1">
      <alignment horizontal="center" vertical="center" wrapText="1"/>
    </xf>
    <xf numFmtId="1" fontId="82" fillId="0" borderId="0" xfId="0" applyNumberFormat="1" applyFont="1" applyFill="1" applyAlignment="1">
      <alignment horizontal="right" vertical="center" wrapText="1"/>
    </xf>
    <xf numFmtId="1" fontId="82" fillId="0" borderId="0" xfId="0" applyNumberFormat="1" applyFont="1" applyFill="1" applyAlignment="1">
      <alignment horizontal="center" vertical="center" wrapText="1"/>
    </xf>
    <xf numFmtId="49" fontId="9" fillId="0" borderId="10" xfId="0" applyNumberFormat="1" applyFont="1" applyFill="1" applyBorder="1" applyAlignment="1">
      <alignment horizontal="center" vertical="center" wrapText="1"/>
    </xf>
    <xf numFmtId="2"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center" vertical="center" wrapText="1"/>
    </xf>
    <xf numFmtId="3" fontId="82" fillId="0" borderId="10" xfId="0" applyNumberFormat="1" applyFont="1" applyFill="1" applyBorder="1" applyAlignment="1">
      <alignment horizontal="center" vertical="center" wrapText="1"/>
    </xf>
    <xf numFmtId="3" fontId="82" fillId="0" borderId="10" xfId="0" applyNumberFormat="1" applyFont="1" applyFill="1" applyBorder="1" applyAlignment="1">
      <alignment vertical="center" wrapText="1"/>
    </xf>
    <xf numFmtId="199" fontId="82" fillId="0" borderId="10" xfId="0" applyNumberFormat="1" applyFont="1" applyFill="1" applyBorder="1" applyAlignment="1">
      <alignment horizontal="center" vertical="center" wrapText="1"/>
    </xf>
    <xf numFmtId="2" fontId="82" fillId="0" borderId="10" xfId="0" applyNumberFormat="1" applyFont="1" applyFill="1" applyBorder="1" applyAlignment="1">
      <alignment vertical="center" wrapText="1"/>
    </xf>
    <xf numFmtId="1" fontId="82" fillId="36" borderId="10" xfId="0" applyNumberFormat="1" applyFont="1" applyFill="1" applyBorder="1" applyAlignment="1">
      <alignment vertical="center" wrapText="1"/>
    </xf>
    <xf numFmtId="180" fontId="9" fillId="41" borderId="10" xfId="53" applyNumberFormat="1" applyFont="1" applyFill="1" applyBorder="1" applyAlignment="1">
      <alignment horizontal="center" vertical="center"/>
      <protection/>
    </xf>
    <xf numFmtId="180" fontId="9" fillId="41" borderId="10" xfId="54" applyNumberFormat="1" applyFont="1" applyFill="1" applyBorder="1" applyAlignment="1">
      <alignment horizontal="center" vertical="center"/>
      <protection/>
    </xf>
    <xf numFmtId="180" fontId="9" fillId="41" borderId="10" xfId="53" applyNumberFormat="1" applyFont="1" applyFill="1" applyBorder="1" applyAlignment="1">
      <alignment horizontal="center" vertical="center" shrinkToFit="1"/>
      <protection/>
    </xf>
    <xf numFmtId="49" fontId="14" fillId="0" borderId="10" xfId="54" applyNumberFormat="1" applyFont="1" applyFill="1" applyBorder="1" applyAlignment="1">
      <alignment horizontal="left" vertical="top" wrapText="1"/>
      <protection/>
    </xf>
    <xf numFmtId="0" fontId="3" fillId="0" borderId="15" xfId="54" applyFont="1" applyFill="1" applyBorder="1" applyAlignment="1">
      <alignment horizontal="center" vertical="center" wrapText="1"/>
      <protection/>
    </xf>
    <xf numFmtId="0" fontId="3" fillId="0" borderId="24" xfId="54"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49" fontId="3" fillId="37" borderId="15" xfId="53" applyNumberFormat="1" applyFont="1" applyFill="1" applyBorder="1" applyAlignment="1">
      <alignment horizontal="center" vertical="top" wrapText="1"/>
      <protection/>
    </xf>
    <xf numFmtId="49" fontId="3" fillId="37" borderId="24" xfId="53" applyNumberFormat="1" applyFont="1" applyFill="1" applyBorder="1" applyAlignment="1">
      <alignment horizontal="center" vertical="top" wrapText="1"/>
      <protection/>
    </xf>
    <xf numFmtId="49" fontId="3" fillId="37" borderId="11" xfId="53" applyNumberFormat="1" applyFont="1" applyFill="1" applyBorder="1" applyAlignment="1">
      <alignment horizontal="center" vertical="top" wrapText="1"/>
      <protection/>
    </xf>
    <xf numFmtId="49" fontId="79" fillId="0" borderId="25" xfId="54" applyNumberFormat="1" applyFont="1" applyFill="1" applyBorder="1" applyAlignment="1">
      <alignment horizontal="left" vertical="top" wrapText="1"/>
      <protection/>
    </xf>
    <xf numFmtId="49" fontId="79" fillId="0" borderId="13" xfId="54" applyNumberFormat="1" applyFont="1" applyFill="1" applyBorder="1" applyAlignment="1">
      <alignment horizontal="left" vertical="top" wrapText="1"/>
      <protection/>
    </xf>
    <xf numFmtId="0" fontId="3" fillId="0" borderId="15"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49" fontId="3" fillId="37" borderId="15" xfId="53" applyNumberFormat="1" applyFont="1" applyFill="1" applyBorder="1" applyAlignment="1">
      <alignment horizontal="center" vertical="top"/>
      <protection/>
    </xf>
    <xf numFmtId="49" fontId="3" fillId="37" borderId="24" xfId="53" applyNumberFormat="1" applyFont="1" applyFill="1" applyBorder="1" applyAlignment="1">
      <alignment horizontal="center" vertical="top"/>
      <protection/>
    </xf>
    <xf numFmtId="49" fontId="3" fillId="37" borderId="11" xfId="53" applyNumberFormat="1" applyFont="1" applyFill="1" applyBorder="1" applyAlignment="1">
      <alignment horizontal="center" vertical="top"/>
      <protection/>
    </xf>
    <xf numFmtId="49" fontId="14" fillId="0" borderId="10" xfId="53" applyNumberFormat="1" applyFont="1" applyFill="1" applyBorder="1" applyAlignment="1">
      <alignment horizontal="left" vertical="top" wrapText="1" shrinkToFit="1"/>
      <protection/>
    </xf>
    <xf numFmtId="49" fontId="3" fillId="37" borderId="10" xfId="53" applyNumberFormat="1" applyFont="1" applyFill="1" applyBorder="1" applyAlignment="1">
      <alignment horizontal="center" vertical="top" wrapText="1"/>
      <protection/>
    </xf>
    <xf numFmtId="49" fontId="79" fillId="0" borderId="25" xfId="53" applyNumberFormat="1" applyFont="1" applyFill="1" applyBorder="1" applyAlignment="1">
      <alignment horizontal="left" vertical="top" wrapText="1" shrinkToFit="1"/>
      <protection/>
    </xf>
    <xf numFmtId="49" fontId="79" fillId="0" borderId="13" xfId="53" applyNumberFormat="1" applyFont="1" applyFill="1" applyBorder="1" applyAlignment="1">
      <alignment horizontal="left" vertical="top" wrapText="1" shrinkToFit="1"/>
      <protection/>
    </xf>
    <xf numFmtId="181" fontId="3" fillId="0" borderId="10" xfId="53" applyNumberFormat="1" applyFont="1" applyFill="1" applyBorder="1" applyAlignment="1">
      <alignment horizontal="left" vertical="top" wrapText="1"/>
      <protection/>
    </xf>
    <xf numFmtId="181" fontId="79" fillId="0" borderId="25" xfId="53" applyNumberFormat="1" applyFont="1" applyFill="1" applyBorder="1" applyAlignment="1">
      <alignment horizontal="left" vertical="top" wrapText="1"/>
      <protection/>
    </xf>
    <xf numFmtId="181" fontId="79" fillId="0" borderId="13" xfId="53" applyNumberFormat="1" applyFont="1" applyFill="1" applyBorder="1" applyAlignment="1">
      <alignment horizontal="left" vertical="top" wrapText="1"/>
      <protection/>
    </xf>
    <xf numFmtId="0" fontId="83" fillId="0" borderId="25" xfId="53" applyFont="1" applyFill="1" applyBorder="1" applyAlignment="1">
      <alignment horizontal="left" vertical="top" wrapText="1"/>
      <protection/>
    </xf>
    <xf numFmtId="0" fontId="83" fillId="0" borderId="14" xfId="53" applyFont="1" applyFill="1" applyBorder="1" applyAlignment="1">
      <alignment horizontal="left" vertical="top" wrapText="1"/>
      <protection/>
    </xf>
    <xf numFmtId="49" fontId="3" fillId="0" borderId="10" xfId="53" applyNumberFormat="1" applyFont="1" applyFill="1" applyBorder="1" applyAlignment="1">
      <alignment horizontal="left" vertical="top" wrapText="1"/>
      <protection/>
    </xf>
    <xf numFmtId="49" fontId="34" fillId="38" borderId="25" xfId="53" applyNumberFormat="1" applyFont="1" applyFill="1" applyBorder="1" applyAlignment="1">
      <alignment horizontal="left" vertical="top" wrapText="1"/>
      <protection/>
    </xf>
    <xf numFmtId="49" fontId="34" fillId="38" borderId="13" xfId="53" applyNumberFormat="1" applyFont="1" applyFill="1" applyBorder="1" applyAlignment="1">
      <alignment horizontal="left" vertical="top" wrapText="1"/>
      <protection/>
    </xf>
    <xf numFmtId="0" fontId="6" fillId="0" borderId="25" xfId="53" applyFont="1" applyFill="1" applyBorder="1" applyAlignment="1">
      <alignment horizontal="left" vertical="top" wrapText="1"/>
      <protection/>
    </xf>
    <xf numFmtId="0" fontId="6" fillId="0" borderId="13" xfId="53" applyFont="1" applyFill="1" applyBorder="1" applyAlignment="1">
      <alignment horizontal="left" vertical="top" wrapText="1"/>
      <protection/>
    </xf>
    <xf numFmtId="0" fontId="6" fillId="0" borderId="14" xfId="53" applyFont="1" applyFill="1" applyBorder="1" applyAlignment="1">
      <alignment horizontal="left" vertical="top" wrapText="1"/>
      <protection/>
    </xf>
    <xf numFmtId="0" fontId="3" fillId="0" borderId="25" xfId="53" applyFont="1" applyFill="1" applyBorder="1" applyAlignment="1">
      <alignment horizontal="left" vertical="top" wrapText="1"/>
      <protection/>
    </xf>
    <xf numFmtId="0" fontId="3" fillId="0" borderId="13" xfId="53" applyFont="1" applyFill="1" applyBorder="1" applyAlignment="1">
      <alignment horizontal="left" vertical="top" wrapText="1"/>
      <protection/>
    </xf>
    <xf numFmtId="0" fontId="3" fillId="0" borderId="14" xfId="53" applyFont="1" applyFill="1" applyBorder="1" applyAlignment="1">
      <alignment horizontal="left" vertical="top" wrapText="1"/>
      <protection/>
    </xf>
    <xf numFmtId="49" fontId="3" fillId="0" borderId="25" xfId="53" applyNumberFormat="1" applyFont="1" applyFill="1" applyBorder="1" applyAlignment="1">
      <alignment horizontal="left" vertical="center" wrapText="1" shrinkToFit="1"/>
      <protection/>
    </xf>
    <xf numFmtId="49" fontId="3" fillId="0" borderId="14" xfId="53" applyNumberFormat="1" applyFont="1" applyFill="1" applyBorder="1" applyAlignment="1">
      <alignment horizontal="left" vertical="center" wrapText="1" shrinkToFit="1"/>
      <protection/>
    </xf>
    <xf numFmtId="49" fontId="14" fillId="0" borderId="25" xfId="53" applyNumberFormat="1" applyFont="1" applyFill="1" applyBorder="1" applyAlignment="1">
      <alignment horizontal="left" vertical="center" wrapText="1" shrinkToFit="1"/>
      <protection/>
    </xf>
    <xf numFmtId="49" fontId="14" fillId="0" borderId="13" xfId="53" applyNumberFormat="1" applyFont="1" applyFill="1" applyBorder="1" applyAlignment="1">
      <alignment horizontal="left" vertical="center" wrapText="1" shrinkToFit="1"/>
      <protection/>
    </xf>
    <xf numFmtId="49" fontId="14" fillId="0" borderId="14" xfId="53" applyNumberFormat="1" applyFont="1" applyFill="1" applyBorder="1" applyAlignment="1">
      <alignment horizontal="left" vertical="center" wrapText="1" shrinkToFit="1"/>
      <protection/>
    </xf>
    <xf numFmtId="49" fontId="79" fillId="0" borderId="25" xfId="53" applyNumberFormat="1" applyFont="1" applyFill="1" applyBorder="1" applyAlignment="1">
      <alignment horizontal="left" vertical="center" wrapText="1" shrinkToFit="1"/>
      <protection/>
    </xf>
    <xf numFmtId="49" fontId="79" fillId="0" borderId="14" xfId="53" applyNumberFormat="1" applyFont="1" applyFill="1" applyBorder="1" applyAlignment="1">
      <alignment horizontal="left" vertical="center" wrapText="1" shrinkToFit="1"/>
      <protection/>
    </xf>
    <xf numFmtId="49" fontId="3" fillId="0" borderId="10" xfId="53" applyNumberFormat="1" applyFont="1" applyFill="1" applyBorder="1" applyAlignment="1">
      <alignment horizontal="left" vertical="top" wrapText="1" shrinkToFit="1"/>
      <protection/>
    </xf>
    <xf numFmtId="49" fontId="14" fillId="0" borderId="25" xfId="54" applyNumberFormat="1" applyFont="1" applyFill="1" applyBorder="1" applyAlignment="1">
      <alignment horizontal="left" vertical="center" wrapText="1"/>
      <protection/>
    </xf>
    <xf numFmtId="49" fontId="14" fillId="0" borderId="14" xfId="54" applyNumberFormat="1" applyFont="1" applyFill="1" applyBorder="1" applyAlignment="1">
      <alignment horizontal="left" vertical="center" wrapText="1"/>
      <protection/>
    </xf>
    <xf numFmtId="49" fontId="14" fillId="0" borderId="13" xfId="54" applyNumberFormat="1" applyFont="1" applyFill="1" applyBorder="1" applyAlignment="1">
      <alignment horizontal="left" vertical="center" wrapText="1"/>
      <protection/>
    </xf>
    <xf numFmtId="49" fontId="14" fillId="0" borderId="10" xfId="54" applyNumberFormat="1" applyFont="1" applyFill="1" applyBorder="1" applyAlignment="1">
      <alignment horizontal="left" vertical="top" wrapText="1" shrinkToFit="1"/>
      <protection/>
    </xf>
    <xf numFmtId="0" fontId="3" fillId="0" borderId="0" xfId="53" applyFont="1" applyFill="1" applyAlignment="1">
      <alignment horizontal="center" wrapText="1"/>
      <protection/>
    </xf>
    <xf numFmtId="49" fontId="6" fillId="37" borderId="10" xfId="53" applyNumberFormat="1" applyFont="1" applyFill="1" applyBorder="1" applyAlignment="1">
      <alignment horizontal="center" vertical="center" wrapText="1"/>
      <protection/>
    </xf>
    <xf numFmtId="0" fontId="22" fillId="0" borderId="10" xfId="53" applyFont="1" applyFill="1" applyBorder="1" applyAlignment="1">
      <alignment horizontal="center" vertical="center" wrapText="1"/>
      <protection/>
    </xf>
    <xf numFmtId="49" fontId="3" fillId="37" borderId="10" xfId="53" applyNumberFormat="1" applyFont="1" applyFill="1" applyBorder="1" applyAlignment="1">
      <alignment horizontal="center" vertical="top"/>
      <protection/>
    </xf>
    <xf numFmtId="0" fontId="3" fillId="0" borderId="10" xfId="53" applyFont="1" applyFill="1" applyBorder="1" applyAlignment="1">
      <alignment horizontal="center" vertical="center" wrapText="1"/>
      <protection/>
    </xf>
    <xf numFmtId="49" fontId="14" fillId="0" borderId="10" xfId="53" applyNumberFormat="1" applyFont="1" applyFill="1" applyBorder="1" applyAlignment="1">
      <alignment horizontal="left" vertical="top" wrapText="1"/>
      <protection/>
    </xf>
    <xf numFmtId="49" fontId="3" fillId="0" borderId="10" xfId="53" applyNumberFormat="1" applyFont="1" applyFill="1" applyBorder="1" applyAlignment="1">
      <alignment horizontal="center" vertical="center" wrapText="1"/>
      <protection/>
    </xf>
    <xf numFmtId="0" fontId="33" fillId="38" borderId="25" xfId="53" applyFont="1" applyFill="1" applyBorder="1" applyAlignment="1">
      <alignment horizontal="left" vertical="top" wrapText="1"/>
      <protection/>
    </xf>
    <xf numFmtId="0" fontId="33" fillId="38" borderId="14" xfId="53" applyFont="1" applyFill="1" applyBorder="1" applyAlignment="1">
      <alignment horizontal="left" vertical="top" wrapText="1"/>
      <protection/>
    </xf>
    <xf numFmtId="181" fontId="3" fillId="0" borderId="25" xfId="53" applyNumberFormat="1" applyFont="1" applyFill="1" applyBorder="1" applyAlignment="1">
      <alignment horizontal="left" vertical="top" wrapText="1"/>
      <protection/>
    </xf>
    <xf numFmtId="181" fontId="3" fillId="0" borderId="14" xfId="53" applyNumberFormat="1" applyFont="1" applyFill="1" applyBorder="1" applyAlignment="1">
      <alignment horizontal="left" vertical="top" wrapText="1"/>
      <protection/>
    </xf>
    <xf numFmtId="181" fontId="14" fillId="0" borderId="10" xfId="53" applyNumberFormat="1" applyFont="1" applyFill="1" applyBorder="1" applyAlignment="1">
      <alignment horizontal="left" vertical="top" wrapText="1"/>
      <protection/>
    </xf>
    <xf numFmtId="181" fontId="34" fillId="38" borderId="25" xfId="53" applyNumberFormat="1" applyFont="1" applyFill="1" applyBorder="1" applyAlignment="1">
      <alignment horizontal="left" vertical="top" wrapText="1"/>
      <protection/>
    </xf>
    <xf numFmtId="181" fontId="34" fillId="38" borderId="14" xfId="53" applyNumberFormat="1" applyFont="1" applyFill="1" applyBorder="1" applyAlignment="1">
      <alignment horizontal="left" vertical="top" wrapText="1"/>
      <protection/>
    </xf>
    <xf numFmtId="181" fontId="17" fillId="0" borderId="25" xfId="53" applyNumberFormat="1" applyFont="1" applyFill="1" applyBorder="1" applyAlignment="1">
      <alignment horizontal="left" vertical="top" wrapText="1"/>
      <protection/>
    </xf>
    <xf numFmtId="181" fontId="17" fillId="0" borderId="14" xfId="53" applyNumberFormat="1" applyFont="1" applyFill="1" applyBorder="1" applyAlignment="1">
      <alignment horizontal="left" vertical="top" wrapText="1"/>
      <protection/>
    </xf>
    <xf numFmtId="181" fontId="33" fillId="38" borderId="25" xfId="53" applyNumberFormat="1" applyFont="1" applyFill="1" applyBorder="1" applyAlignment="1">
      <alignment horizontal="left" vertical="top" wrapText="1"/>
      <protection/>
    </xf>
    <xf numFmtId="181" fontId="33" fillId="38" borderId="14" xfId="53" applyNumberFormat="1" applyFont="1" applyFill="1" applyBorder="1" applyAlignment="1">
      <alignment horizontal="left" vertical="top" wrapText="1"/>
      <protection/>
    </xf>
    <xf numFmtId="181" fontId="14" fillId="0" borderId="25" xfId="53" applyNumberFormat="1" applyFont="1" applyFill="1" applyBorder="1" applyAlignment="1">
      <alignment horizontal="left" vertical="top" wrapText="1"/>
      <protection/>
    </xf>
    <xf numFmtId="181" fontId="14" fillId="0" borderId="14" xfId="53" applyNumberFormat="1" applyFont="1" applyFill="1" applyBorder="1" applyAlignment="1">
      <alignment horizontal="left" vertical="top" wrapText="1"/>
      <protection/>
    </xf>
    <xf numFmtId="0" fontId="14" fillId="0" borderId="25" xfId="53" applyFont="1" applyFill="1" applyBorder="1" applyAlignment="1">
      <alignment horizontal="left" vertical="top" wrapText="1"/>
      <protection/>
    </xf>
    <xf numFmtId="0" fontId="14" fillId="0" borderId="14" xfId="53" applyFont="1" applyFill="1" applyBorder="1" applyAlignment="1">
      <alignment horizontal="left" vertical="top" wrapText="1"/>
      <protection/>
    </xf>
    <xf numFmtId="181" fontId="14" fillId="0" borderId="25" xfId="53" applyNumberFormat="1" applyFont="1" applyFill="1" applyBorder="1" applyAlignment="1">
      <alignment horizontal="center" vertical="top" wrapText="1"/>
      <protection/>
    </xf>
    <xf numFmtId="181" fontId="14" fillId="0" borderId="13" xfId="53" applyNumberFormat="1" applyFont="1" applyFill="1" applyBorder="1" applyAlignment="1">
      <alignment horizontal="center" vertical="top" wrapText="1"/>
      <protection/>
    </xf>
    <xf numFmtId="181" fontId="80" fillId="0" borderId="25" xfId="53" applyNumberFormat="1" applyFont="1" applyFill="1" applyBorder="1" applyAlignment="1">
      <alignment horizontal="left" vertical="top" wrapText="1"/>
      <protection/>
    </xf>
    <xf numFmtId="181" fontId="80" fillId="0" borderId="14" xfId="53" applyNumberFormat="1" applyFont="1" applyFill="1" applyBorder="1" applyAlignment="1">
      <alignment horizontal="left" vertical="top" wrapText="1"/>
      <protection/>
    </xf>
    <xf numFmtId="181" fontId="79" fillId="0" borderId="14" xfId="53" applyNumberFormat="1" applyFont="1" applyFill="1" applyBorder="1" applyAlignment="1">
      <alignment horizontal="left" vertical="top" wrapText="1"/>
      <protection/>
    </xf>
    <xf numFmtId="181" fontId="14" fillId="0" borderId="10" xfId="53" applyNumberFormat="1" applyFont="1" applyFill="1" applyBorder="1" applyAlignment="1">
      <alignment horizontal="left" vertical="top" wrapText="1"/>
      <protection/>
    </xf>
    <xf numFmtId="49" fontId="17" fillId="0" borderId="25" xfId="53" applyNumberFormat="1" applyFont="1" applyFill="1" applyBorder="1" applyAlignment="1">
      <alignment horizontal="left" vertical="center" wrapText="1"/>
      <protection/>
    </xf>
    <xf numFmtId="49" fontId="17" fillId="0" borderId="13" xfId="53" applyNumberFormat="1" applyFont="1" applyFill="1" applyBorder="1" applyAlignment="1">
      <alignment horizontal="left" vertical="center" wrapText="1"/>
      <protection/>
    </xf>
    <xf numFmtId="49" fontId="22" fillId="37" borderId="10" xfId="53" applyNumberFormat="1" applyFont="1" applyFill="1" applyBorder="1" applyAlignment="1">
      <alignment horizontal="center" vertical="top" wrapText="1"/>
      <protection/>
    </xf>
    <xf numFmtId="49" fontId="3" fillId="37" borderId="10" xfId="53" applyNumberFormat="1" applyFont="1" applyFill="1" applyBorder="1" applyAlignment="1">
      <alignment horizontal="center" vertical="center" wrapText="1"/>
      <protection/>
    </xf>
    <xf numFmtId="49" fontId="79" fillId="0" borderId="25" xfId="53" applyNumberFormat="1" applyFont="1" applyFill="1" applyBorder="1" applyAlignment="1">
      <alignment horizontal="left" vertical="top" wrapText="1"/>
      <protection/>
    </xf>
    <xf numFmtId="49" fontId="79" fillId="0" borderId="14" xfId="53" applyNumberFormat="1" applyFont="1" applyFill="1" applyBorder="1" applyAlignment="1">
      <alignment horizontal="left" vertical="top" wrapText="1"/>
      <protection/>
    </xf>
    <xf numFmtId="49" fontId="6" fillId="0" borderId="10" xfId="53" applyNumberFormat="1" applyFont="1" applyFill="1" applyBorder="1" applyAlignment="1">
      <alignment horizontal="left" vertical="top" wrapText="1"/>
      <protection/>
    </xf>
    <xf numFmtId="49" fontId="3" fillId="37"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49" fontId="6" fillId="0" borderId="25" xfId="53" applyNumberFormat="1" applyFont="1" applyFill="1" applyBorder="1" applyAlignment="1">
      <alignment horizontal="left" vertical="top" wrapText="1"/>
      <protection/>
    </xf>
    <xf numFmtId="49" fontId="6" fillId="0" borderId="13" xfId="53" applyNumberFormat="1" applyFont="1" applyFill="1" applyBorder="1" applyAlignment="1">
      <alignment horizontal="left" vertical="top" wrapText="1"/>
      <protection/>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37" borderId="15" xfId="0" applyNumberFormat="1" applyFont="1" applyFill="1" applyBorder="1" applyAlignment="1">
      <alignment horizontal="center" vertical="top" wrapText="1"/>
    </xf>
    <xf numFmtId="49" fontId="3" fillId="37" borderId="24" xfId="0" applyNumberFormat="1" applyFont="1" applyFill="1" applyBorder="1" applyAlignment="1">
      <alignment horizontal="center" vertical="top" wrapText="1"/>
    </xf>
    <xf numFmtId="49" fontId="3" fillId="37" borderId="11" xfId="0" applyNumberFormat="1" applyFont="1" applyFill="1" applyBorder="1" applyAlignment="1">
      <alignment horizontal="center" vertical="top" wrapText="1"/>
    </xf>
    <xf numFmtId="0" fontId="79" fillId="0" borderId="25" xfId="53" applyFont="1" applyFill="1" applyBorder="1" applyAlignment="1">
      <alignment horizontal="left" vertical="top" wrapText="1"/>
      <protection/>
    </xf>
    <xf numFmtId="0" fontId="79" fillId="0" borderId="13" xfId="53" applyFont="1" applyFill="1" applyBorder="1" applyAlignment="1">
      <alignment horizontal="left" vertical="top" wrapText="1"/>
      <protection/>
    </xf>
    <xf numFmtId="0" fontId="79" fillId="0" borderId="14" xfId="53" applyFont="1" applyFill="1" applyBorder="1" applyAlignment="1">
      <alignment horizontal="left" vertical="top" wrapText="1"/>
      <protection/>
    </xf>
    <xf numFmtId="0" fontId="3" fillId="0" borderId="25"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6" fillId="0" borderId="25" xfId="53" applyFont="1" applyFill="1" applyBorder="1" applyAlignment="1">
      <alignment horizontal="left" vertical="center" wrapText="1"/>
      <protection/>
    </xf>
    <xf numFmtId="0" fontId="6" fillId="0" borderId="13" xfId="53" applyFont="1" applyFill="1" applyBorder="1" applyAlignment="1">
      <alignment horizontal="left" vertical="center" wrapText="1"/>
      <protection/>
    </xf>
    <xf numFmtId="49" fontId="17" fillId="0" borderId="25" xfId="53" applyNumberFormat="1" applyFont="1" applyFill="1" applyBorder="1" applyAlignment="1">
      <alignment horizontal="left" vertical="center" wrapText="1" shrinkToFit="1"/>
      <protection/>
    </xf>
    <xf numFmtId="49" fontId="17" fillId="0" borderId="14" xfId="53" applyNumberFormat="1" applyFont="1" applyFill="1" applyBorder="1" applyAlignment="1">
      <alignment horizontal="left" vertical="center" wrapText="1" shrinkToFit="1"/>
      <protection/>
    </xf>
    <xf numFmtId="49" fontId="33" fillId="38" borderId="25" xfId="53" applyNumberFormat="1" applyFont="1" applyFill="1" applyBorder="1" applyAlignment="1">
      <alignment horizontal="left" vertical="top" wrapText="1" shrinkToFit="1"/>
      <protection/>
    </xf>
    <xf numFmtId="49" fontId="33" fillId="38" borderId="14" xfId="53" applyNumberFormat="1" applyFont="1" applyFill="1" applyBorder="1" applyAlignment="1">
      <alignment horizontal="left" vertical="top" wrapText="1" shrinkToFit="1"/>
      <protection/>
    </xf>
    <xf numFmtId="0" fontId="33" fillId="38" borderId="25" xfId="53" applyFont="1" applyFill="1" applyBorder="1" applyAlignment="1">
      <alignment horizontal="left" vertical="top" wrapText="1" shrinkToFit="1"/>
      <protection/>
    </xf>
    <xf numFmtId="0" fontId="33" fillId="38" borderId="14" xfId="53" applyFont="1" applyFill="1" applyBorder="1" applyAlignment="1">
      <alignment horizontal="left" vertical="top" wrapText="1" shrinkToFit="1"/>
      <protection/>
    </xf>
    <xf numFmtId="49" fontId="6" fillId="0" borderId="25" xfId="53" applyNumberFormat="1" applyFont="1" applyFill="1" applyBorder="1" applyAlignment="1">
      <alignment horizontal="left" vertical="center" wrapText="1" shrinkToFit="1"/>
      <protection/>
    </xf>
    <xf numFmtId="49" fontId="6" fillId="0" borderId="13" xfId="53" applyNumberFormat="1" applyFont="1" applyFill="1" applyBorder="1" applyAlignment="1">
      <alignment horizontal="left" vertical="center" wrapText="1" shrinkToFit="1"/>
      <protection/>
    </xf>
    <xf numFmtId="0" fontId="3" fillId="37" borderId="10" xfId="53" applyFont="1" applyFill="1" applyBorder="1" applyAlignment="1">
      <alignment horizontal="center" vertical="center" wrapText="1"/>
      <protection/>
    </xf>
    <xf numFmtId="181" fontId="14" fillId="0" borderId="10" xfId="53" applyNumberFormat="1" applyFont="1" applyFill="1" applyBorder="1" applyAlignment="1">
      <alignment horizontal="left" vertical="center" wrapText="1"/>
      <protection/>
    </xf>
    <xf numFmtId="181" fontId="34" fillId="38" borderId="13" xfId="53" applyNumberFormat="1" applyFont="1" applyFill="1" applyBorder="1" applyAlignment="1">
      <alignment horizontal="left" vertical="top" wrapText="1"/>
      <protection/>
    </xf>
    <xf numFmtId="0" fontId="34" fillId="38" borderId="25" xfId="53" applyFont="1" applyFill="1" applyBorder="1" applyAlignment="1">
      <alignment horizontal="left" vertical="top" wrapText="1"/>
      <protection/>
    </xf>
    <xf numFmtId="0" fontId="34" fillId="38" borderId="14" xfId="53" applyFont="1" applyFill="1" applyBorder="1" applyAlignment="1">
      <alignment horizontal="left" vertical="top" wrapText="1"/>
      <protection/>
    </xf>
    <xf numFmtId="0" fontId="5" fillId="33" borderId="0" xfId="53" applyFont="1" applyFill="1" applyBorder="1" applyAlignment="1">
      <alignment horizontal="center" vertical="center" wrapText="1"/>
      <protection/>
    </xf>
    <xf numFmtId="49" fontId="22" fillId="37" borderId="10" xfId="53" applyNumberFormat="1" applyFont="1" applyFill="1" applyBorder="1" applyAlignment="1">
      <alignment horizontal="center" vertical="center"/>
      <protection/>
    </xf>
    <xf numFmtId="49" fontId="79" fillId="37" borderId="10" xfId="53" applyNumberFormat="1" applyFont="1" applyFill="1" applyBorder="1" applyAlignment="1">
      <alignment horizontal="center" vertical="top"/>
      <protection/>
    </xf>
    <xf numFmtId="49" fontId="3" fillId="0" borderId="10" xfId="53" applyNumberFormat="1" applyFont="1" applyFill="1" applyBorder="1" applyAlignment="1">
      <alignment horizontal="center" vertical="center"/>
      <protection/>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center" vertical="center"/>
    </xf>
    <xf numFmtId="181" fontId="17" fillId="0" borderId="25" xfId="53" applyNumberFormat="1" applyFont="1" applyFill="1" applyBorder="1" applyAlignment="1">
      <alignment horizontal="left" vertical="center" wrapText="1"/>
      <protection/>
    </xf>
    <xf numFmtId="181" fontId="17" fillId="0" borderId="14" xfId="53" applyNumberFormat="1" applyFont="1" applyFill="1" applyBorder="1" applyAlignment="1">
      <alignment horizontal="left" vertical="center" wrapText="1"/>
      <protection/>
    </xf>
    <xf numFmtId="181" fontId="17" fillId="0" borderId="10" xfId="53" applyNumberFormat="1" applyFont="1" applyFill="1" applyBorder="1" applyAlignment="1">
      <alignment horizontal="left" vertical="top" wrapText="1"/>
      <protection/>
    </xf>
    <xf numFmtId="49" fontId="17" fillId="0" borderId="25" xfId="53" applyNumberFormat="1" applyFont="1" applyFill="1" applyBorder="1" applyAlignment="1">
      <alignment horizontal="left" vertical="top" wrapText="1"/>
      <protection/>
    </xf>
    <xf numFmtId="49" fontId="17" fillId="0" borderId="14" xfId="53" applyNumberFormat="1" applyFont="1" applyFill="1" applyBorder="1" applyAlignment="1">
      <alignment horizontal="left" vertical="top" wrapText="1"/>
      <protection/>
    </xf>
    <xf numFmtId="0" fontId="14" fillId="0" borderId="25" xfId="53" applyFont="1" applyFill="1" applyBorder="1" applyAlignment="1">
      <alignment horizontal="center" vertical="top" wrapText="1"/>
      <protection/>
    </xf>
    <xf numFmtId="0" fontId="14" fillId="0" borderId="14" xfId="53" applyFont="1" applyFill="1" applyBorder="1" applyAlignment="1">
      <alignment horizontal="center" vertical="top" wrapText="1"/>
      <protection/>
    </xf>
    <xf numFmtId="0" fontId="17" fillId="0" borderId="25" xfId="53" applyFont="1" applyFill="1" applyBorder="1" applyAlignment="1">
      <alignment horizontal="center" vertical="center" wrapText="1"/>
      <protection/>
    </xf>
    <xf numFmtId="0" fontId="17" fillId="0" borderId="14" xfId="53" applyFont="1" applyFill="1" applyBorder="1" applyAlignment="1">
      <alignment horizontal="center" vertical="center" wrapText="1"/>
      <protection/>
    </xf>
    <xf numFmtId="49" fontId="17" fillId="0" borderId="10" xfId="53" applyNumberFormat="1" applyFont="1" applyFill="1" applyBorder="1" applyAlignment="1">
      <alignment horizontal="left" vertical="top" wrapText="1"/>
      <protection/>
    </xf>
    <xf numFmtId="49" fontId="14" fillId="0" borderId="10" xfId="53" applyNumberFormat="1" applyFont="1" applyFill="1" applyBorder="1" applyAlignment="1">
      <alignment horizontal="left" vertical="top" wrapText="1"/>
      <protection/>
    </xf>
    <xf numFmtId="49" fontId="17" fillId="0" borderId="10" xfId="53" applyNumberFormat="1" applyFont="1" applyFill="1" applyBorder="1" applyAlignment="1">
      <alignment horizontal="left" vertical="top" wrapText="1"/>
      <protection/>
    </xf>
    <xf numFmtId="49" fontId="17" fillId="0" borderId="10" xfId="53" applyNumberFormat="1" applyFont="1" applyFill="1" applyBorder="1" applyAlignment="1">
      <alignment horizontal="left" vertical="center" wrapText="1"/>
      <protection/>
    </xf>
    <xf numFmtId="0" fontId="3" fillId="37" borderId="10" xfId="53" applyFont="1" applyFill="1" applyBorder="1" applyAlignment="1">
      <alignment horizontal="center" vertical="top" wrapText="1"/>
      <protection/>
    </xf>
    <xf numFmtId="0" fontId="3" fillId="0" borderId="10" xfId="53" applyFont="1" applyFill="1" applyBorder="1" applyAlignment="1">
      <alignment horizontal="center" vertical="top" wrapText="1"/>
      <protection/>
    </xf>
    <xf numFmtId="0" fontId="3" fillId="0" borderId="10" xfId="53" applyFont="1" applyFill="1" applyBorder="1" applyAlignment="1">
      <alignment horizontal="center" vertical="center"/>
      <protection/>
    </xf>
    <xf numFmtId="180" fontId="3" fillId="0" borderId="10" xfId="53" applyNumberFormat="1" applyFont="1" applyFill="1" applyBorder="1" applyAlignment="1">
      <alignment horizontal="center" vertical="center" wrapText="1"/>
      <protection/>
    </xf>
    <xf numFmtId="0" fontId="22" fillId="37" borderId="10" xfId="53" applyFont="1" applyFill="1" applyBorder="1" applyAlignment="1">
      <alignment horizontal="center" vertical="top"/>
      <protection/>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181" fontId="17" fillId="0" borderId="13" xfId="53" applyNumberFormat="1" applyFont="1" applyFill="1" applyBorder="1" applyAlignment="1">
      <alignment horizontal="left" vertical="top" wrapText="1"/>
      <protection/>
    </xf>
    <xf numFmtId="181" fontId="17" fillId="0" borderId="25" xfId="53" applyNumberFormat="1" applyFont="1" applyFill="1" applyBorder="1" applyAlignment="1">
      <alignment horizontal="left" vertical="center" wrapText="1"/>
      <protection/>
    </xf>
    <xf numFmtId="181" fontId="17" fillId="0" borderId="13" xfId="53" applyNumberFormat="1" applyFont="1" applyFill="1" applyBorder="1" applyAlignment="1">
      <alignment horizontal="left" vertical="center" wrapText="1"/>
      <protection/>
    </xf>
    <xf numFmtId="49" fontId="3" fillId="0" borderId="25" xfId="53" applyNumberFormat="1" applyFont="1" applyFill="1" applyBorder="1" applyAlignment="1">
      <alignment horizontal="left" vertical="top" wrapText="1"/>
      <protection/>
    </xf>
    <xf numFmtId="49" fontId="3" fillId="0" borderId="14" xfId="53" applyNumberFormat="1" applyFont="1" applyFill="1" applyBorder="1" applyAlignment="1">
      <alignment horizontal="left" vertical="top" wrapText="1"/>
      <protection/>
    </xf>
    <xf numFmtId="49" fontId="14" fillId="0" borderId="25" xfId="53" applyNumberFormat="1" applyFont="1" applyFill="1" applyBorder="1" applyAlignment="1">
      <alignment horizontal="left" vertical="center" wrapText="1"/>
      <protection/>
    </xf>
    <xf numFmtId="49" fontId="14" fillId="0" borderId="14" xfId="53" applyNumberFormat="1" applyFont="1" applyFill="1" applyBorder="1" applyAlignment="1">
      <alignment horizontal="left" vertical="center" wrapText="1"/>
      <protection/>
    </xf>
    <xf numFmtId="49" fontId="17" fillId="0" borderId="13" xfId="53" applyNumberFormat="1" applyFont="1" applyFill="1" applyBorder="1" applyAlignment="1">
      <alignment horizontal="left" vertical="center" wrapText="1" shrinkToFit="1"/>
      <protection/>
    </xf>
    <xf numFmtId="49" fontId="3" fillId="0" borderId="10" xfId="54" applyNumberFormat="1" applyFont="1" applyFill="1" applyBorder="1" applyAlignment="1">
      <alignment horizontal="center" vertical="center"/>
      <protection/>
    </xf>
    <xf numFmtId="49" fontId="33" fillId="38" borderId="13" xfId="53" applyNumberFormat="1" applyFont="1" applyFill="1" applyBorder="1" applyAlignment="1">
      <alignment horizontal="left" vertical="top" wrapText="1" shrinkToFit="1"/>
      <protection/>
    </xf>
    <xf numFmtId="49" fontId="17" fillId="0" borderId="10" xfId="54" applyNumberFormat="1" applyFont="1" applyFill="1" applyBorder="1" applyAlignment="1">
      <alignment horizontal="left" vertical="top" wrapText="1" shrinkToFit="1"/>
      <protection/>
    </xf>
    <xf numFmtId="49" fontId="3" fillId="0" borderId="10" xfId="54" applyNumberFormat="1" applyFont="1" applyFill="1" applyBorder="1" applyAlignment="1">
      <alignment horizontal="center" vertical="center" wrapText="1"/>
      <protection/>
    </xf>
    <xf numFmtId="0" fontId="3" fillId="37" borderId="10" xfId="54" applyFont="1" applyFill="1" applyBorder="1" applyAlignment="1">
      <alignment horizontal="center" vertical="center" wrapText="1"/>
      <protection/>
    </xf>
    <xf numFmtId="49" fontId="3" fillId="37" borderId="10" xfId="54" applyNumberFormat="1"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49" fontId="17" fillId="0" borderId="25" xfId="54" applyNumberFormat="1" applyFont="1" applyFill="1" applyBorder="1" applyAlignment="1">
      <alignment horizontal="left" vertical="center" wrapText="1"/>
      <protection/>
    </xf>
    <xf numFmtId="49" fontId="17" fillId="0" borderId="13" xfId="54" applyNumberFormat="1" applyFont="1" applyFill="1" applyBorder="1" applyAlignment="1">
      <alignment horizontal="left" vertical="center" wrapText="1"/>
      <protection/>
    </xf>
    <xf numFmtId="49" fontId="17" fillId="0" borderId="14" xfId="54" applyNumberFormat="1" applyFont="1" applyFill="1" applyBorder="1" applyAlignment="1">
      <alignment horizontal="left" vertical="center" wrapText="1"/>
      <protection/>
    </xf>
    <xf numFmtId="49" fontId="33" fillId="38" borderId="25" xfId="54" applyNumberFormat="1" applyFont="1" applyFill="1" applyBorder="1" applyAlignment="1">
      <alignment horizontal="left" vertical="top" wrapText="1"/>
      <protection/>
    </xf>
    <xf numFmtId="49" fontId="33" fillId="38" borderId="13" xfId="54" applyNumberFormat="1" applyFont="1" applyFill="1" applyBorder="1" applyAlignment="1">
      <alignment horizontal="left" vertical="top" wrapText="1"/>
      <protection/>
    </xf>
    <xf numFmtId="0" fontId="0" fillId="0" borderId="10" xfId="0" applyFill="1" applyBorder="1" applyAlignment="1">
      <alignment horizontal="center" vertical="center"/>
    </xf>
    <xf numFmtId="49" fontId="79" fillId="0" borderId="25" xfId="54" applyNumberFormat="1" applyFont="1" applyFill="1" applyBorder="1" applyAlignment="1">
      <alignment horizontal="left" vertical="center" wrapText="1"/>
      <protection/>
    </xf>
    <xf numFmtId="49" fontId="79" fillId="0" borderId="14" xfId="54" applyNumberFormat="1" applyFont="1" applyFill="1" applyBorder="1" applyAlignment="1">
      <alignment horizontal="left" vertical="center" wrapText="1"/>
      <protection/>
    </xf>
    <xf numFmtId="49" fontId="14" fillId="0" borderId="25" xfId="54" applyNumberFormat="1" applyFont="1" applyFill="1" applyBorder="1" applyAlignment="1">
      <alignment horizontal="left" vertical="top" wrapText="1"/>
      <protection/>
    </xf>
    <xf numFmtId="49" fontId="14" fillId="0" borderId="14" xfId="54" applyNumberFormat="1" applyFont="1" applyFill="1" applyBorder="1" applyAlignment="1">
      <alignment horizontal="left" vertical="top" wrapText="1"/>
      <protection/>
    </xf>
    <xf numFmtId="49" fontId="33" fillId="38" borderId="14" xfId="54" applyNumberFormat="1" applyFont="1" applyFill="1" applyBorder="1" applyAlignment="1">
      <alignment horizontal="left" vertical="top" wrapText="1"/>
      <protection/>
    </xf>
    <xf numFmtId="0" fontId="14" fillId="0" borderId="10" xfId="0" applyFont="1" applyFill="1" applyBorder="1" applyAlignment="1">
      <alignment horizontal="center" vertical="center" wrapText="1"/>
    </xf>
    <xf numFmtId="49" fontId="3" fillId="37" borderId="10" xfId="54" applyNumberFormat="1" applyFont="1" applyFill="1" applyBorder="1" applyAlignment="1">
      <alignment horizontal="center" vertical="top" wrapText="1"/>
      <protection/>
    </xf>
    <xf numFmtId="49" fontId="79" fillId="0" borderId="13" xfId="54" applyNumberFormat="1" applyFont="1" applyFill="1" applyBorder="1" applyAlignment="1">
      <alignment horizontal="left" vertical="center" wrapText="1"/>
      <protection/>
    </xf>
    <xf numFmtId="0" fontId="35" fillId="0" borderId="25" xfId="54" applyFont="1" applyFill="1" applyBorder="1" applyAlignment="1">
      <alignment horizontal="left" vertical="center" wrapText="1" shrinkToFit="1"/>
      <protection/>
    </xf>
    <xf numFmtId="0" fontId="35" fillId="0" borderId="13" xfId="54" applyFont="1" applyFill="1" applyBorder="1" applyAlignment="1">
      <alignment horizontal="left" vertical="center" wrapText="1" shrinkToFit="1"/>
      <protection/>
    </xf>
    <xf numFmtId="49" fontId="3" fillId="0" borderId="13" xfId="53" applyNumberFormat="1" applyFont="1" applyFill="1" applyBorder="1" applyAlignment="1">
      <alignment horizontal="left" vertical="center" wrapText="1" shrinkToFit="1"/>
      <protection/>
    </xf>
    <xf numFmtId="49" fontId="3" fillId="0" borderId="13" xfId="53" applyNumberFormat="1" applyFont="1" applyFill="1" applyBorder="1" applyAlignment="1">
      <alignment horizontal="left" vertical="top" wrapText="1"/>
      <protection/>
    </xf>
    <xf numFmtId="0" fontId="8" fillId="0" borderId="10" xfId="54" applyFont="1" applyFill="1" applyBorder="1" applyAlignment="1">
      <alignment horizontal="center" vertical="center"/>
      <protection/>
    </xf>
    <xf numFmtId="3" fontId="82" fillId="0" borderId="10" xfId="0" applyNumberFormat="1" applyFont="1" applyFill="1" applyBorder="1" applyAlignment="1">
      <alignment horizontal="center" vertical="center" wrapText="1"/>
    </xf>
    <xf numFmtId="2" fontId="82" fillId="0" borderId="0" xfId="0" applyNumberFormat="1" applyFont="1" applyFill="1" applyAlignment="1">
      <alignment horizontal="right" vertical="center" wrapText="1"/>
    </xf>
    <xf numFmtId="2" fontId="82" fillId="0" borderId="0" xfId="0" applyNumberFormat="1" applyFont="1" applyFill="1" applyAlignment="1">
      <alignment horizontal="center" vertical="center" wrapText="1"/>
    </xf>
    <xf numFmtId="2" fontId="82" fillId="0" borderId="10" xfId="0" applyNumberFormat="1" applyFont="1" applyFill="1" applyBorder="1" applyAlignment="1">
      <alignment horizontal="center" vertical="center" wrapText="1"/>
    </xf>
    <xf numFmtId="1" fontId="82" fillId="0" borderId="10"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82" fillId="0" borderId="15" xfId="0" applyNumberFormat="1" applyFont="1" applyFill="1" applyBorder="1" applyAlignment="1">
      <alignment horizontal="center" vertical="center" wrapText="1"/>
    </xf>
    <xf numFmtId="1" fontId="82" fillId="0" borderId="11" xfId="0" applyNumberFormat="1" applyFont="1" applyFill="1" applyBorder="1" applyAlignment="1">
      <alignment horizontal="center" vertical="center" wrapText="1"/>
    </xf>
    <xf numFmtId="1" fontId="82" fillId="0" borderId="24" xfId="0" applyNumberFormat="1" applyFont="1" applyFill="1" applyBorder="1" applyAlignment="1">
      <alignment horizontal="center" vertical="center" wrapText="1"/>
    </xf>
    <xf numFmtId="1" fontId="82" fillId="0" borderId="0" xfId="0" applyNumberFormat="1" applyFont="1" applyFill="1" applyAlignment="1">
      <alignment horizontal="right" vertical="center" wrapText="1"/>
    </xf>
    <xf numFmtId="1" fontId="82" fillId="0" borderId="0" xfId="0" applyNumberFormat="1" applyFont="1" applyFill="1" applyAlignment="1">
      <alignment horizontal="center" vertical="center" wrapText="1"/>
    </xf>
    <xf numFmtId="0" fontId="9" fillId="0" borderId="18" xfId="53" applyFont="1" applyFill="1" applyBorder="1" applyAlignment="1">
      <alignment horizontal="center" vertical="center" wrapText="1"/>
      <protection/>
    </xf>
    <xf numFmtId="0" fontId="9" fillId="0" borderId="10" xfId="53" applyFont="1" applyFill="1" applyBorder="1" applyAlignment="1">
      <alignment horizontal="left" vertical="center" wrapText="1"/>
      <protection/>
    </xf>
    <xf numFmtId="16" fontId="9" fillId="0" borderId="26" xfId="53" applyNumberFormat="1" applyFont="1" applyFill="1" applyBorder="1" applyAlignment="1">
      <alignment horizontal="center" vertical="center" wrapText="1"/>
      <protection/>
    </xf>
    <xf numFmtId="16" fontId="9" fillId="0" borderId="27" xfId="53" applyNumberFormat="1" applyFont="1" applyFill="1" applyBorder="1" applyAlignment="1">
      <alignment horizontal="center" vertical="center" wrapText="1"/>
      <protection/>
    </xf>
    <xf numFmtId="0" fontId="9" fillId="0" borderId="15" xfId="53" applyFont="1" applyFill="1" applyBorder="1" applyAlignment="1">
      <alignment horizontal="left" vertical="center" wrapText="1"/>
      <protection/>
    </xf>
    <xf numFmtId="16" fontId="9" fillId="0" borderId="18" xfId="53" applyNumberFormat="1" applyFont="1" applyFill="1" applyBorder="1" applyAlignment="1">
      <alignment horizontal="center" vertical="center" wrapText="1"/>
      <protection/>
    </xf>
    <xf numFmtId="0" fontId="9" fillId="0" borderId="0" xfId="53" applyFont="1" applyFill="1" applyAlignment="1">
      <alignment horizontal="center" vertical="center"/>
      <protection/>
    </xf>
    <xf numFmtId="16" fontId="9" fillId="0" borderId="10" xfId="53" applyNumberFormat="1" applyFont="1" applyFill="1" applyBorder="1" applyAlignment="1">
      <alignment horizontal="center" vertical="center" wrapText="1"/>
      <protection/>
    </xf>
    <xf numFmtId="49" fontId="9" fillId="0" borderId="18" xfId="53" applyNumberFormat="1" applyFont="1" applyFill="1" applyBorder="1" applyAlignment="1">
      <alignment horizontal="center" vertical="center" wrapText="1"/>
      <protection/>
    </xf>
    <xf numFmtId="0" fontId="9" fillId="0" borderId="10" xfId="53" applyFont="1" applyFill="1" applyBorder="1" applyAlignment="1">
      <alignment vertical="center" wrapText="1"/>
      <protection/>
    </xf>
    <xf numFmtId="0" fontId="9" fillId="0" borderId="1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1" xfId="0" applyFont="1" applyFill="1" applyBorder="1" applyAlignment="1">
      <alignment horizontal="left" vertical="center" wrapText="1"/>
    </xf>
    <xf numFmtId="180" fontId="38" fillId="0" borderId="0" xfId="0" applyNumberFormat="1" applyFont="1" applyFill="1" applyAlignment="1">
      <alignment horizontal="right" vertical="center"/>
    </xf>
    <xf numFmtId="0" fontId="39" fillId="0" borderId="0" xfId="53" applyFont="1" applyFill="1" applyAlignment="1">
      <alignment horizontal="center" vertical="top" wrapText="1"/>
      <protection/>
    </xf>
    <xf numFmtId="0" fontId="9" fillId="0" borderId="28"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180" fontId="9" fillId="0" borderId="28" xfId="53" applyNumberFormat="1" applyFont="1" applyFill="1" applyBorder="1" applyAlignment="1">
      <alignment horizontal="center" vertical="center" wrapText="1"/>
      <protection/>
    </xf>
    <xf numFmtId="180" fontId="9" fillId="0" borderId="29" xfId="53" applyNumberFormat="1" applyFont="1" applyFill="1" applyBorder="1" applyAlignment="1">
      <alignment horizontal="center" vertical="center" wrapText="1"/>
      <protection/>
    </xf>
    <xf numFmtId="180" fontId="9" fillId="0" borderId="30" xfId="53" applyNumberFormat="1" applyFont="1" applyFill="1" applyBorder="1" applyAlignment="1">
      <alignment horizontal="center" vertical="center" wrapText="1"/>
      <protection/>
    </xf>
    <xf numFmtId="0" fontId="9" fillId="0" borderId="31" xfId="53" applyFont="1" applyFill="1" applyBorder="1" applyAlignment="1">
      <alignment horizontal="center" vertical="center" wrapText="1"/>
      <protection/>
    </xf>
    <xf numFmtId="0" fontId="9" fillId="0" borderId="18" xfId="53" applyFont="1" applyFill="1" applyBorder="1" applyAlignment="1">
      <alignment vertical="center" wrapText="1"/>
      <protection/>
    </xf>
    <xf numFmtId="0" fontId="9" fillId="0" borderId="18" xfId="53" applyNumberFormat="1" applyFont="1" applyFill="1" applyBorder="1" applyAlignment="1">
      <alignment horizontal="center" vertical="center" wrapText="1"/>
      <protection/>
    </xf>
    <xf numFmtId="0" fontId="9" fillId="0" borderId="10" xfId="54" applyFont="1" applyFill="1" applyBorder="1" applyAlignment="1">
      <alignment horizontal="left" vertical="center" wrapText="1"/>
      <protection/>
    </xf>
    <xf numFmtId="0" fontId="9" fillId="0" borderId="10" xfId="54" applyFont="1" applyFill="1" applyBorder="1" applyAlignment="1">
      <alignment vertical="center" wrapText="1"/>
      <protection/>
    </xf>
    <xf numFmtId="0" fontId="9" fillId="0" borderId="32" xfId="53" applyFont="1" applyFill="1" applyBorder="1" applyAlignment="1">
      <alignment horizontal="center" vertical="center" wrapText="1"/>
      <protection/>
    </xf>
    <xf numFmtId="0" fontId="9" fillId="0" borderId="19" xfId="54" applyFont="1" applyFill="1" applyBorder="1" applyAlignment="1">
      <alignment horizontal="left" vertical="center" wrapText="1"/>
      <protection/>
    </xf>
    <xf numFmtId="0" fontId="37" fillId="39" borderId="20" xfId="58" applyNumberFormat="1" applyFont="1" applyFill="1" applyBorder="1" applyAlignment="1">
      <alignment horizontal="left" vertical="top" wrapText="1"/>
      <protection/>
    </xf>
    <xf numFmtId="0" fontId="37" fillId="40" borderId="20" xfId="58" applyNumberFormat="1" applyFont="1" applyFill="1" applyBorder="1" applyAlignment="1">
      <alignment horizontal="left" vertical="top" wrapText="1" indent="2"/>
      <protection/>
    </xf>
    <xf numFmtId="49" fontId="9" fillId="0" borderId="10" xfId="53" applyNumberFormat="1" applyFont="1" applyFill="1" applyBorder="1" applyAlignment="1">
      <alignment horizontal="center" vertical="center" wrapText="1"/>
      <protection/>
    </xf>
    <xf numFmtId="0" fontId="9" fillId="35" borderId="10" xfId="54" applyFont="1" applyFill="1" applyBorder="1" applyAlignment="1">
      <alignment vertical="center" wrapText="1"/>
      <protection/>
    </xf>
    <xf numFmtId="0" fontId="9" fillId="0" borderId="24" xfId="53" applyFont="1" applyFill="1" applyBorder="1" applyAlignment="1">
      <alignment horizontal="left" vertical="center" wrapText="1"/>
      <protection/>
    </xf>
    <xf numFmtId="0" fontId="9" fillId="0" borderId="11" xfId="53" applyFont="1" applyFill="1" applyBorder="1" applyAlignment="1">
      <alignment horizontal="left" vertical="center" wrapText="1"/>
      <protection/>
    </xf>
    <xf numFmtId="0" fontId="9" fillId="0" borderId="15" xfId="53" applyFont="1" applyFill="1" applyBorder="1" applyAlignment="1">
      <alignment horizontal="center" vertical="center" wrapText="1"/>
      <protection/>
    </xf>
    <xf numFmtId="0" fontId="9" fillId="0" borderId="24" xfId="53" applyFont="1" applyFill="1" applyBorder="1" applyAlignment="1">
      <alignment horizontal="center" vertical="center" wrapText="1"/>
      <protection/>
    </xf>
    <xf numFmtId="0" fontId="9" fillId="0" borderId="11" xfId="53" applyFont="1" applyFill="1" applyBorder="1" applyAlignment="1">
      <alignment horizontal="center" vertical="center" wrapText="1"/>
      <protection/>
    </xf>
    <xf numFmtId="0" fontId="28" fillId="0" borderId="10" xfId="53" applyFont="1" applyFill="1" applyBorder="1" applyAlignment="1">
      <alignment horizontal="left" vertical="center" wrapText="1"/>
      <protection/>
    </xf>
    <xf numFmtId="0" fontId="9" fillId="38" borderId="10" xfId="53" applyFont="1" applyFill="1" applyBorder="1" applyAlignment="1">
      <alignment horizontal="left" vertical="center" wrapText="1"/>
      <protection/>
    </xf>
    <xf numFmtId="0" fontId="28" fillId="0" borderId="10" xfId="53" applyFont="1" applyFill="1" applyBorder="1" applyAlignment="1">
      <alignment vertical="center" wrapText="1"/>
      <protection/>
    </xf>
    <xf numFmtId="0" fontId="9" fillId="38" borderId="10" xfId="53" applyFont="1" applyFill="1" applyBorder="1" applyAlignment="1">
      <alignment vertical="center" wrapText="1"/>
      <protection/>
    </xf>
    <xf numFmtId="180" fontId="4" fillId="0" borderId="0" xfId="53" applyNumberFormat="1" applyFont="1" applyFill="1" applyAlignment="1">
      <alignment horizontal="right" vertical="center" wrapText="1"/>
      <protection/>
    </xf>
    <xf numFmtId="0" fontId="10" fillId="0" borderId="0" xfId="53" applyFont="1" applyFill="1" applyAlignment="1">
      <alignment horizontal="center" vertical="top" wrapText="1"/>
      <protection/>
    </xf>
    <xf numFmtId="180" fontId="9" fillId="0" borderId="10" xfId="53" applyNumberFormat="1" applyFont="1" applyFill="1" applyBorder="1" applyAlignment="1">
      <alignment horizontal="center" vertical="center" wrapText="1"/>
      <protection/>
    </xf>
    <xf numFmtId="4" fontId="82" fillId="41" borderId="10" xfId="0" applyNumberFormat="1"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Обычный_Лист1"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3"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7;&#1074;&#1086;&#1076;%20&#1043;&#1055;%20%2030.%2010.%202013%20&#1055;&#1086;%20&#1082;&#1086;&#1085;&#1089;&#1091;&#1083;&#1100;&#1090;&#1072;&#1094;&#1080;&#1080;%20&#1089;%20&#1052;&#1060;%20&#1071;&#1088;&#1083;&#1099;&#1082;&#1086;&#1074;&#1072;%20&#1085;&#1072;%2005.11.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VlasenkoOV\AppData\Local\Microsoft\Windows\Temporary%20Internet%20Files\Content.Outlook\MCA2B6P0\&#1048;&#1079;&#1084;&#1077;&#1085;&#1077;&#1085;&#1080;&#1103;%20&#1074;%20&#1043;&#1055;\&#1048;&#1079;&#1084;.%20&#1076;&#1086;%202021%20&#1075;&#1086;&#1076;&#1072;%20&#1089;&#1077;&#1085;&#1090;&#1103;&#1073;&#1088;&#1100;%202018%20&#1075;&#1086;&#1076;&#1072;\&#1055;&#1088;&#1080;&#1083;&#1086;&#1078;&#1077;&#1085;&#1080;&#1103;%201-3%20&#1089;&#1077;&#1085;&#1090;&#1103;&#1073;&#1088;&#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5"/>
      <sheetName val="7"/>
      <sheetName val="5"/>
      <sheetName val="1"/>
      <sheetName val="2"/>
      <sheetName val="3"/>
      <sheetName val="4"/>
      <sheetName val="6"/>
      <sheetName val="8"/>
      <sheetName val="9"/>
      <sheetName val="10"/>
      <sheetName val="11"/>
      <sheetName val="12"/>
      <sheetName val="13"/>
      <sheetName val="14"/>
      <sheetName val="15"/>
      <sheetName val="15 внебюджет"/>
      <sheetName val="Лист2"/>
    </sheetNames>
    <sheetDataSet>
      <sheetData sheetId="0">
        <row r="576">
          <cell r="E576">
            <v>4608.45</v>
          </cell>
          <cell r="F576">
            <v>4770</v>
          </cell>
          <cell r="G576">
            <v>4970.3</v>
          </cell>
          <cell r="H576">
            <v>5179.2</v>
          </cell>
        </row>
        <row r="577">
          <cell r="E577">
            <v>8416</v>
          </cell>
          <cell r="F577">
            <v>8576</v>
          </cell>
          <cell r="G577">
            <v>8936.2</v>
          </cell>
          <cell r="H577">
            <v>9311.5</v>
          </cell>
        </row>
        <row r="578">
          <cell r="E578">
            <v>394</v>
          </cell>
          <cell r="F578">
            <v>394</v>
          </cell>
          <cell r="G578">
            <v>410.5</v>
          </cell>
          <cell r="H578">
            <v>427.79999999999995</v>
          </cell>
        </row>
        <row r="579">
          <cell r="D579">
            <v>66</v>
          </cell>
          <cell r="E579">
            <v>66</v>
          </cell>
          <cell r="F579">
            <v>66</v>
          </cell>
          <cell r="G579">
            <v>68.8</v>
          </cell>
          <cell r="H579">
            <v>71.7</v>
          </cell>
        </row>
        <row r="580">
          <cell r="D580">
            <v>815</v>
          </cell>
          <cell r="E580">
            <v>815</v>
          </cell>
          <cell r="F580">
            <v>815</v>
          </cell>
          <cell r="G580">
            <v>849.2</v>
          </cell>
          <cell r="H580">
            <v>884.9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8"/>
      <sheetName val="Приложение 1"/>
      <sheetName val="Приложение 2"/>
      <sheetName val="приложение 3"/>
      <sheetName val="для сверки"/>
    </sheetNames>
    <sheetDataSet>
      <sheetData sheetId="0">
        <row r="292">
          <cell r="D292">
            <v>0</v>
          </cell>
          <cell r="E292">
            <v>0</v>
          </cell>
          <cell r="F292">
            <v>0</v>
          </cell>
          <cell r="G292">
            <v>0</v>
          </cell>
          <cell r="J292">
            <v>0</v>
          </cell>
          <cell r="K292">
            <v>0</v>
          </cell>
        </row>
        <row r="293">
          <cell r="G293">
            <v>0</v>
          </cell>
        </row>
        <row r="294">
          <cell r="G294">
            <v>0</v>
          </cell>
          <cell r="I294">
            <v>0</v>
          </cell>
          <cell r="J294">
            <v>0</v>
          </cell>
          <cell r="K294">
            <v>0</v>
          </cell>
        </row>
        <row r="295">
          <cell r="D295">
            <v>0</v>
          </cell>
          <cell r="E295">
            <v>0</v>
          </cell>
          <cell r="F295">
            <v>0</v>
          </cell>
          <cell r="G295">
            <v>0</v>
          </cell>
          <cell r="J295">
            <v>0</v>
          </cell>
          <cell r="K29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AP1479"/>
  <sheetViews>
    <sheetView zoomScaleSheetLayoutView="145" zoomScalePageLayoutView="82" workbookViewId="0" topLeftCell="A427">
      <selection activeCell="I439" sqref="I439"/>
    </sheetView>
  </sheetViews>
  <sheetFormatPr defaultColWidth="9.140625" defaultRowHeight="15" customHeight="1"/>
  <cols>
    <col min="1" max="1" width="7.8515625" style="1" customWidth="1"/>
    <col min="2" max="2" width="26.8515625" style="16" customWidth="1"/>
    <col min="3" max="3" width="13.57421875" style="16" hidden="1" customWidth="1"/>
    <col min="4" max="4" width="16.7109375" style="16" hidden="1" customWidth="1"/>
    <col min="5" max="5" width="15.00390625" style="16" hidden="1" customWidth="1"/>
    <col min="6" max="6" width="15.7109375" style="16" hidden="1" customWidth="1"/>
    <col min="7" max="7" width="15.7109375" style="128" hidden="1" customWidth="1"/>
    <col min="8" max="8" width="15.7109375" style="128" customWidth="1"/>
    <col min="9" max="9" width="15.7109375" style="16" customWidth="1"/>
    <col min="10" max="10" width="14.8515625" style="16" customWidth="1"/>
    <col min="11" max="11" width="16.7109375" style="16" customWidth="1"/>
    <col min="12" max="12" width="15.7109375" style="12" customWidth="1"/>
    <col min="13" max="13" width="13.8515625" style="12" customWidth="1"/>
    <col min="14" max="14" width="8.7109375" style="103" customWidth="1"/>
    <col min="15" max="15" width="9.28125" style="103" customWidth="1"/>
    <col min="16" max="42" width="9.140625" style="16" customWidth="1"/>
    <col min="43" max="16384" width="9.140625" style="1" customWidth="1"/>
  </cols>
  <sheetData>
    <row r="1" spans="1:15" ht="1.5" customHeight="1">
      <c r="A1" s="3"/>
      <c r="B1" s="21"/>
      <c r="C1" s="95"/>
      <c r="D1" s="95"/>
      <c r="E1" s="95"/>
      <c r="F1" s="95"/>
      <c r="G1" s="95"/>
      <c r="H1" s="95"/>
      <c r="I1" s="95"/>
      <c r="J1" s="95"/>
      <c r="K1" s="95"/>
      <c r="L1" s="7"/>
      <c r="M1" s="7"/>
      <c r="N1" s="98"/>
      <c r="O1" s="98"/>
    </row>
    <row r="2" spans="1:15" ht="15" customHeight="1" hidden="1">
      <c r="A2" s="3"/>
      <c r="B2" s="21"/>
      <c r="C2" s="95"/>
      <c r="D2" s="95"/>
      <c r="E2" s="95"/>
      <c r="F2" s="95"/>
      <c r="G2" s="95"/>
      <c r="H2" s="95"/>
      <c r="I2" s="95"/>
      <c r="J2" s="95"/>
      <c r="K2" s="95"/>
      <c r="L2" s="7"/>
      <c r="M2" s="7"/>
      <c r="N2" s="98"/>
      <c r="O2" s="98"/>
    </row>
    <row r="3" spans="1:15" ht="15" customHeight="1" hidden="1">
      <c r="A3" s="3"/>
      <c r="B3" s="21"/>
      <c r="C3" s="95"/>
      <c r="D3" s="95"/>
      <c r="E3" s="95"/>
      <c r="F3" s="95"/>
      <c r="G3" s="95"/>
      <c r="H3" s="95"/>
      <c r="I3" s="95"/>
      <c r="J3" s="95"/>
      <c r="K3" s="95"/>
      <c r="L3" s="7"/>
      <c r="M3" s="7"/>
      <c r="N3" s="98"/>
      <c r="O3" s="98"/>
    </row>
    <row r="4" spans="1:15" ht="15" customHeight="1" hidden="1">
      <c r="A4" s="3"/>
      <c r="B4" s="21"/>
      <c r="C4" s="95"/>
      <c r="D4" s="95"/>
      <c r="E4" s="95"/>
      <c r="F4" s="95"/>
      <c r="G4" s="95"/>
      <c r="H4" s="95"/>
      <c r="I4" s="95"/>
      <c r="J4" s="95"/>
      <c r="K4" s="95"/>
      <c r="L4" s="7"/>
      <c r="M4" s="7"/>
      <c r="N4" s="98"/>
      <c r="O4" s="98"/>
    </row>
    <row r="5" spans="1:15" ht="15.75" customHeight="1" hidden="1">
      <c r="A5" s="15" t="s">
        <v>1</v>
      </c>
      <c r="B5" s="96"/>
      <c r="C5" s="96"/>
      <c r="D5" s="96"/>
      <c r="E5" s="96"/>
      <c r="F5" s="96"/>
      <c r="G5" s="96"/>
      <c r="H5" s="96"/>
      <c r="I5" s="96"/>
      <c r="J5" s="96"/>
      <c r="K5" s="96"/>
      <c r="L5" s="15"/>
      <c r="M5" s="15"/>
      <c r="N5" s="99"/>
      <c r="O5" s="99"/>
    </row>
    <row r="6" spans="1:15" ht="15" customHeight="1" hidden="1">
      <c r="A6" s="14"/>
      <c r="B6" s="97"/>
      <c r="C6" s="97"/>
      <c r="D6" s="97"/>
      <c r="E6" s="97"/>
      <c r="F6" s="97"/>
      <c r="G6" s="97"/>
      <c r="H6" s="97"/>
      <c r="I6" s="97"/>
      <c r="J6" s="97"/>
      <c r="K6" s="97"/>
      <c r="L6" s="14"/>
      <c r="M6" s="14"/>
      <c r="N6" s="100"/>
      <c r="O6" s="100"/>
    </row>
    <row r="7" spans="1:15" ht="18" customHeight="1">
      <c r="A7" s="14"/>
      <c r="B7" s="97"/>
      <c r="C7" s="97"/>
      <c r="D7" s="97"/>
      <c r="E7" s="97"/>
      <c r="F7" s="97"/>
      <c r="G7" s="97"/>
      <c r="H7" s="97"/>
      <c r="I7" s="97"/>
      <c r="J7" s="97"/>
      <c r="K7" s="97"/>
      <c r="L7" s="14"/>
      <c r="M7" s="14"/>
      <c r="N7" s="100"/>
      <c r="O7" s="100"/>
    </row>
    <row r="8" spans="1:23" ht="72" customHeight="1">
      <c r="A8" s="138"/>
      <c r="B8" s="138"/>
      <c r="C8" s="138"/>
      <c r="D8" s="138"/>
      <c r="E8" s="138"/>
      <c r="F8" s="138"/>
      <c r="G8" s="138"/>
      <c r="H8" s="138"/>
      <c r="I8" s="138"/>
      <c r="J8" s="138"/>
      <c r="K8" s="138"/>
      <c r="L8" s="344" t="s">
        <v>378</v>
      </c>
      <c r="M8" s="344"/>
      <c r="N8" s="344"/>
      <c r="O8" s="344"/>
      <c r="P8" s="138"/>
      <c r="Q8" s="138"/>
      <c r="R8" s="138"/>
      <c r="S8" s="138"/>
      <c r="T8" s="138"/>
      <c r="U8" s="138"/>
      <c r="V8" s="138"/>
      <c r="W8" s="138"/>
    </row>
    <row r="9" spans="1:15" ht="37.5" customHeight="1">
      <c r="A9" s="411" t="s">
        <v>258</v>
      </c>
      <c r="B9" s="411"/>
      <c r="C9" s="411"/>
      <c r="D9" s="411"/>
      <c r="E9" s="411"/>
      <c r="F9" s="411"/>
      <c r="G9" s="411"/>
      <c r="H9" s="411"/>
      <c r="I9" s="411"/>
      <c r="J9" s="411"/>
      <c r="K9" s="411"/>
      <c r="L9" s="411"/>
      <c r="M9" s="411"/>
      <c r="N9" s="411"/>
      <c r="O9" s="411"/>
    </row>
    <row r="10" spans="1:15" ht="15" customHeight="1">
      <c r="A10" s="431" t="s">
        <v>34</v>
      </c>
      <c r="B10" s="432" t="s">
        <v>35</v>
      </c>
      <c r="C10" s="434" t="s">
        <v>36</v>
      </c>
      <c r="D10" s="434"/>
      <c r="E10" s="434"/>
      <c r="F10" s="434"/>
      <c r="G10" s="434"/>
      <c r="H10" s="434"/>
      <c r="I10" s="434"/>
      <c r="J10" s="434"/>
      <c r="K10" s="434"/>
      <c r="L10" s="406" t="s">
        <v>148</v>
      </c>
      <c r="M10" s="406" t="s">
        <v>149</v>
      </c>
      <c r="N10" s="431" t="s">
        <v>37</v>
      </c>
      <c r="O10" s="431" t="s">
        <v>38</v>
      </c>
    </row>
    <row r="11" spans="1:15" ht="12" customHeight="1">
      <c r="A11" s="431"/>
      <c r="B11" s="432"/>
      <c r="C11" s="434"/>
      <c r="D11" s="434"/>
      <c r="E11" s="434"/>
      <c r="F11" s="434"/>
      <c r="G11" s="434"/>
      <c r="H11" s="434"/>
      <c r="I11" s="434"/>
      <c r="J11" s="434"/>
      <c r="K11" s="434"/>
      <c r="L11" s="406"/>
      <c r="M11" s="406"/>
      <c r="N11" s="431"/>
      <c r="O11" s="431"/>
    </row>
    <row r="12" spans="1:18" ht="38.25" customHeight="1">
      <c r="A12" s="431"/>
      <c r="B12" s="432"/>
      <c r="C12" s="28" t="s">
        <v>39</v>
      </c>
      <c r="D12" s="28" t="s">
        <v>40</v>
      </c>
      <c r="E12" s="28" t="s">
        <v>41</v>
      </c>
      <c r="F12" s="28" t="s">
        <v>42</v>
      </c>
      <c r="G12" s="28" t="s">
        <v>43</v>
      </c>
      <c r="H12" s="28" t="s">
        <v>115</v>
      </c>
      <c r="I12" s="28" t="s">
        <v>44</v>
      </c>
      <c r="J12" s="28" t="s">
        <v>32</v>
      </c>
      <c r="K12" s="28" t="s">
        <v>33</v>
      </c>
      <c r="L12" s="406"/>
      <c r="M12" s="406"/>
      <c r="N12" s="431"/>
      <c r="O12" s="431"/>
      <c r="R12" s="139"/>
    </row>
    <row r="13" spans="1:15" ht="15" customHeight="1">
      <c r="A13" s="107">
        <v>1</v>
      </c>
      <c r="B13" s="107">
        <v>2</v>
      </c>
      <c r="C13" s="108">
        <v>3</v>
      </c>
      <c r="D13" s="108">
        <v>4</v>
      </c>
      <c r="E13" s="108">
        <v>5</v>
      </c>
      <c r="F13" s="108">
        <v>6</v>
      </c>
      <c r="G13" s="108">
        <v>7</v>
      </c>
      <c r="H13" s="108">
        <v>3</v>
      </c>
      <c r="I13" s="108">
        <v>4</v>
      </c>
      <c r="J13" s="108">
        <v>5</v>
      </c>
      <c r="K13" s="108">
        <v>6</v>
      </c>
      <c r="L13" s="108">
        <v>7</v>
      </c>
      <c r="M13" s="108">
        <f>L13+1</f>
        <v>8</v>
      </c>
      <c r="N13" s="109">
        <f>M13+1</f>
        <v>9</v>
      </c>
      <c r="O13" s="109">
        <f>N13+1</f>
        <v>10</v>
      </c>
    </row>
    <row r="14" spans="1:21" ht="48" customHeight="1">
      <c r="A14" s="429" t="s">
        <v>215</v>
      </c>
      <c r="B14" s="427"/>
      <c r="C14" s="110">
        <f>D14+E14+F14+G14+I14+J14+K14</f>
        <v>12017542.24762</v>
      </c>
      <c r="D14" s="110">
        <f aca="true" t="shared" si="0" ref="D14:K14">D15+D16+D22+D23+D24</f>
        <v>1722457.75293</v>
      </c>
      <c r="E14" s="110">
        <f t="shared" si="0"/>
        <v>1644160.8786699995</v>
      </c>
      <c r="F14" s="110">
        <f t="shared" si="0"/>
        <v>1661634.5119699999</v>
      </c>
      <c r="G14" s="28">
        <f>G15+G16+G22+G23+G24</f>
        <v>2080407.0622999999</v>
      </c>
      <c r="H14" s="28">
        <f>I14+J14+K14</f>
        <v>4908882.04175</v>
      </c>
      <c r="I14" s="111">
        <f>I15+I16+I22+I23+I24</f>
        <v>1993787.19487</v>
      </c>
      <c r="J14" s="111">
        <f t="shared" si="0"/>
        <v>1449987.06494</v>
      </c>
      <c r="K14" s="111">
        <f t="shared" si="0"/>
        <v>1465107.78194</v>
      </c>
      <c r="L14" s="434" t="s">
        <v>264</v>
      </c>
      <c r="M14" s="433"/>
      <c r="N14" s="435">
        <v>2014</v>
      </c>
      <c r="O14" s="435">
        <v>2020</v>
      </c>
      <c r="Q14" s="148"/>
      <c r="R14" s="226"/>
      <c r="S14" s="226"/>
      <c r="T14" s="226"/>
      <c r="U14" s="148"/>
    </row>
    <row r="15" spans="1:42" s="8" customFormat="1" ht="15" customHeight="1">
      <c r="A15" s="427" t="s">
        <v>45</v>
      </c>
      <c r="B15" s="427"/>
      <c r="C15" s="110">
        <f aca="true" t="shared" si="1" ref="C15:C58">D15+E15+F15+G15+I15+J15+K15</f>
        <v>305018.24600000004</v>
      </c>
      <c r="D15" s="110">
        <f>D27+D119+D329+D350+D708+D1036</f>
        <v>98363.584</v>
      </c>
      <c r="E15" s="110">
        <f>E27+E119+E329+E350+E708+E1036</f>
        <v>102115.062</v>
      </c>
      <c r="F15" s="110">
        <f>F27+F119+F329+F350+F708+F1036</f>
        <v>17202.2</v>
      </c>
      <c r="G15" s="113">
        <f>G27+G119+G329+G350+G708+G1036</f>
        <v>37810</v>
      </c>
      <c r="H15" s="28">
        <f aca="true" t="shared" si="2" ref="H15:H78">I15+J15+K15</f>
        <v>49527.4</v>
      </c>
      <c r="I15" s="110">
        <f>I27+I119+I329+I350+I708+I1036</f>
        <v>49527.4</v>
      </c>
      <c r="J15" s="110">
        <f>J27+J119+J329+J350+J708+J1036</f>
        <v>0</v>
      </c>
      <c r="K15" s="110">
        <f>K27+K119+K329+K350+K708+K1036</f>
        <v>0</v>
      </c>
      <c r="L15" s="348"/>
      <c r="M15" s="433"/>
      <c r="N15" s="435"/>
      <c r="O15" s="435"/>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row>
    <row r="16" spans="1:42" s="8" customFormat="1" ht="15" customHeight="1">
      <c r="A16" s="427" t="s">
        <v>46</v>
      </c>
      <c r="B16" s="427"/>
      <c r="C16" s="110">
        <f t="shared" si="1"/>
        <v>11497487.670969998</v>
      </c>
      <c r="D16" s="110">
        <f aca="true" t="shared" si="3" ref="D16:K16">SUM(D17:D21)</f>
        <v>1593895.6534799999</v>
      </c>
      <c r="E16" s="110">
        <f t="shared" si="3"/>
        <v>1520923.2696699996</v>
      </c>
      <c r="F16" s="110">
        <f t="shared" si="3"/>
        <v>1618178.12897</v>
      </c>
      <c r="G16" s="113">
        <f t="shared" si="3"/>
        <v>1996536.3871</v>
      </c>
      <c r="H16" s="28">
        <f t="shared" si="2"/>
        <v>4767954.23175</v>
      </c>
      <c r="I16" s="110">
        <f>SUM(I17:I21)</f>
        <v>1913601.3248700001</v>
      </c>
      <c r="J16" s="110">
        <f t="shared" si="3"/>
        <v>1419328.59494</v>
      </c>
      <c r="K16" s="110">
        <f t="shared" si="3"/>
        <v>1435024.31194</v>
      </c>
      <c r="L16" s="348"/>
      <c r="M16" s="433"/>
      <c r="N16" s="435"/>
      <c r="O16" s="435"/>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row>
    <row r="17" spans="1:15" ht="15" customHeight="1">
      <c r="A17" s="428" t="s">
        <v>46</v>
      </c>
      <c r="B17" s="428"/>
      <c r="C17" s="110">
        <f t="shared" si="1"/>
        <v>8063877.09046</v>
      </c>
      <c r="D17" s="111">
        <f>D28+D120+D330+D352+D709+D1074</f>
        <v>1322833.53348</v>
      </c>
      <c r="E17" s="111">
        <f>E28+E120+E330+E352+E709+E1074</f>
        <v>1190486.5756499998</v>
      </c>
      <c r="F17" s="111">
        <f>F28+F120+F330+F352+F709+F1074</f>
        <v>1389348.07887</v>
      </c>
      <c r="G17" s="28">
        <f>G28+G120+G330+G352+G709+G1074</f>
        <v>1328454.1204600001</v>
      </c>
      <c r="H17" s="28">
        <f t="shared" si="2"/>
        <v>2832754.7820000006</v>
      </c>
      <c r="I17" s="111">
        <f>I28+I120+I330+I352+I1074</f>
        <v>1168205.1320000002</v>
      </c>
      <c r="J17" s="111">
        <f>J28+J120+J330+J352+J1074</f>
        <v>829884.64</v>
      </c>
      <c r="K17" s="111">
        <f>K28+K120+K330+K352+K1074</f>
        <v>834665.0100000001</v>
      </c>
      <c r="L17" s="348"/>
      <c r="M17" s="433"/>
      <c r="N17" s="435"/>
      <c r="O17" s="435"/>
    </row>
    <row r="18" spans="1:15" ht="15" customHeight="1">
      <c r="A18" s="428" t="s">
        <v>46</v>
      </c>
      <c r="B18" s="428"/>
      <c r="C18" s="110">
        <f t="shared" si="1"/>
        <v>1132493.12622</v>
      </c>
      <c r="D18" s="111">
        <f>D1077+D353</f>
        <v>396</v>
      </c>
      <c r="E18" s="111">
        <f>E1077+E353</f>
        <v>71898.91</v>
      </c>
      <c r="F18" s="111">
        <f>F1077+F353</f>
        <v>63684.4171</v>
      </c>
      <c r="G18" s="28">
        <f>G1077+G353</f>
        <v>256089.57497000002</v>
      </c>
      <c r="H18" s="28">
        <f t="shared" si="2"/>
        <v>740424.22415</v>
      </c>
      <c r="I18" s="111">
        <f>I353+I1021</f>
        <v>279811.58415</v>
      </c>
      <c r="J18" s="111">
        <f>J353+J1021</f>
        <v>225371.35</v>
      </c>
      <c r="K18" s="111">
        <f>K353+K1021</f>
        <v>235241.29</v>
      </c>
      <c r="L18" s="348"/>
      <c r="M18" s="433"/>
      <c r="N18" s="435"/>
      <c r="O18" s="435"/>
    </row>
    <row r="19" spans="1:15" ht="15" customHeight="1">
      <c r="A19" s="428" t="s">
        <v>46</v>
      </c>
      <c r="B19" s="428"/>
      <c r="C19" s="110">
        <f t="shared" si="1"/>
        <v>1399305.19691</v>
      </c>
      <c r="D19" s="111">
        <f>D1076</f>
        <v>80743.12</v>
      </c>
      <c r="E19" s="111">
        <f>E1076</f>
        <v>85900.77872999999</v>
      </c>
      <c r="F19" s="111">
        <f>F1076</f>
        <v>104102.105</v>
      </c>
      <c r="G19" s="28">
        <f>G1076</f>
        <v>207585.96758</v>
      </c>
      <c r="H19" s="28">
        <f t="shared" si="2"/>
        <v>920973.2255999998</v>
      </c>
      <c r="I19" s="111">
        <f>I710+I1076</f>
        <v>315782.60872</v>
      </c>
      <c r="J19" s="111">
        <f>J710+J1076</f>
        <v>302072.60493999993</v>
      </c>
      <c r="K19" s="111">
        <f>K710+K1076</f>
        <v>303118.01193999994</v>
      </c>
      <c r="L19" s="348"/>
      <c r="M19" s="433"/>
      <c r="N19" s="435"/>
      <c r="O19" s="435"/>
    </row>
    <row r="20" spans="1:15" ht="15" customHeight="1">
      <c r="A20" s="428" t="s">
        <v>46</v>
      </c>
      <c r="B20" s="428"/>
      <c r="C20" s="110">
        <f t="shared" si="1"/>
        <v>379369.728</v>
      </c>
      <c r="D20" s="111">
        <f aca="true" t="shared" si="4" ref="D20:K20">D1075</f>
        <v>1923</v>
      </c>
      <c r="E20" s="111">
        <f t="shared" si="4"/>
        <v>57919</v>
      </c>
      <c r="F20" s="111">
        <f t="shared" si="4"/>
        <v>61043.528000000006</v>
      </c>
      <c r="G20" s="28">
        <f t="shared" si="4"/>
        <v>61084.2</v>
      </c>
      <c r="H20" s="28">
        <f t="shared" si="2"/>
        <v>197400</v>
      </c>
      <c r="I20" s="111">
        <f t="shared" si="4"/>
        <v>73400</v>
      </c>
      <c r="J20" s="111">
        <f t="shared" si="4"/>
        <v>62000</v>
      </c>
      <c r="K20" s="111">
        <f t="shared" si="4"/>
        <v>62000</v>
      </c>
      <c r="L20" s="348"/>
      <c r="M20" s="433"/>
      <c r="N20" s="435"/>
      <c r="O20" s="435"/>
    </row>
    <row r="21" spans="1:15" ht="15" customHeight="1">
      <c r="A21" s="428" t="s">
        <v>46</v>
      </c>
      <c r="B21" s="428"/>
      <c r="C21" s="110">
        <f t="shared" si="1"/>
        <v>522442.52937999996</v>
      </c>
      <c r="D21" s="111">
        <f aca="true" t="shared" si="5" ref="D21:K21">D1078</f>
        <v>188000</v>
      </c>
      <c r="E21" s="111">
        <f t="shared" si="5"/>
        <v>114718.00529</v>
      </c>
      <c r="F21" s="111">
        <f t="shared" si="5"/>
        <v>0</v>
      </c>
      <c r="G21" s="28">
        <f t="shared" si="5"/>
        <v>143322.52409</v>
      </c>
      <c r="H21" s="28">
        <f t="shared" si="2"/>
        <v>76402</v>
      </c>
      <c r="I21" s="111">
        <f t="shared" si="5"/>
        <v>76402</v>
      </c>
      <c r="J21" s="111">
        <f t="shared" si="5"/>
        <v>0</v>
      </c>
      <c r="K21" s="111">
        <f t="shared" si="5"/>
        <v>0</v>
      </c>
      <c r="L21" s="348"/>
      <c r="M21" s="433"/>
      <c r="N21" s="435"/>
      <c r="O21" s="435"/>
    </row>
    <row r="22" spans="1:42" s="9" customFormat="1" ht="15" customHeight="1">
      <c r="A22" s="430" t="s">
        <v>47</v>
      </c>
      <c r="B22" s="430"/>
      <c r="C22" s="110">
        <f t="shared" si="1"/>
        <v>211586.33065000002</v>
      </c>
      <c r="D22" s="110">
        <f aca="true" t="shared" si="6" ref="D22:G24">D42+D151+D331+D354+D712+D1079</f>
        <v>29623.51545</v>
      </c>
      <c r="E22" s="110">
        <f t="shared" si="6"/>
        <v>20547.547000000002</v>
      </c>
      <c r="F22" s="110">
        <f t="shared" si="6"/>
        <v>25679.183</v>
      </c>
      <c r="G22" s="113">
        <f t="shared" si="6"/>
        <v>45485.6752</v>
      </c>
      <c r="H22" s="28">
        <f t="shared" si="2"/>
        <v>90250.41</v>
      </c>
      <c r="I22" s="110">
        <f aca="true" t="shared" si="7" ref="I22:K24">I42+I151+I331+I354+I712+I1079</f>
        <v>30083.47</v>
      </c>
      <c r="J22" s="110">
        <f t="shared" si="7"/>
        <v>30083.47</v>
      </c>
      <c r="K22" s="110">
        <f t="shared" si="7"/>
        <v>30083.47</v>
      </c>
      <c r="L22" s="348"/>
      <c r="M22" s="433"/>
      <c r="N22" s="435"/>
      <c r="O22" s="435"/>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row>
    <row r="23" spans="1:42" s="8" customFormat="1" ht="15" customHeight="1">
      <c r="A23" s="427" t="s">
        <v>48</v>
      </c>
      <c r="B23" s="427"/>
      <c r="C23" s="110">
        <f t="shared" si="1"/>
        <v>0</v>
      </c>
      <c r="D23" s="110">
        <f t="shared" si="6"/>
        <v>0</v>
      </c>
      <c r="E23" s="110">
        <f t="shared" si="6"/>
        <v>0</v>
      </c>
      <c r="F23" s="110">
        <f t="shared" si="6"/>
        <v>0</v>
      </c>
      <c r="G23" s="113">
        <f t="shared" si="6"/>
        <v>0</v>
      </c>
      <c r="H23" s="28">
        <f t="shared" si="2"/>
        <v>0</v>
      </c>
      <c r="I23" s="110">
        <f t="shared" si="7"/>
        <v>0</v>
      </c>
      <c r="J23" s="110">
        <f t="shared" si="7"/>
        <v>0</v>
      </c>
      <c r="K23" s="110">
        <f t="shared" si="7"/>
        <v>0</v>
      </c>
      <c r="L23" s="348"/>
      <c r="M23" s="433"/>
      <c r="N23" s="435"/>
      <c r="O23" s="435"/>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row>
    <row r="24" spans="1:42" s="8" customFormat="1" ht="15" customHeight="1">
      <c r="A24" s="427" t="s">
        <v>49</v>
      </c>
      <c r="B24" s="427"/>
      <c r="C24" s="110">
        <f t="shared" si="1"/>
        <v>3450</v>
      </c>
      <c r="D24" s="110">
        <f t="shared" si="6"/>
        <v>575</v>
      </c>
      <c r="E24" s="110">
        <f t="shared" si="6"/>
        <v>575</v>
      </c>
      <c r="F24" s="110">
        <f t="shared" si="6"/>
        <v>575</v>
      </c>
      <c r="G24" s="113">
        <f t="shared" si="6"/>
        <v>575</v>
      </c>
      <c r="H24" s="28">
        <f t="shared" si="2"/>
        <v>1150</v>
      </c>
      <c r="I24" s="110">
        <f t="shared" si="7"/>
        <v>575</v>
      </c>
      <c r="J24" s="110">
        <f t="shared" si="7"/>
        <v>575</v>
      </c>
      <c r="K24" s="110">
        <f t="shared" si="7"/>
        <v>0</v>
      </c>
      <c r="L24" s="348"/>
      <c r="M24" s="433"/>
      <c r="N24" s="435"/>
      <c r="O24" s="435"/>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row>
    <row r="25" spans="1:15" ht="40.5" customHeight="1">
      <c r="A25" s="425" t="s">
        <v>51</v>
      </c>
      <c r="B25" s="426"/>
      <c r="C25" s="153"/>
      <c r="D25" s="153"/>
      <c r="E25" s="153"/>
      <c r="F25" s="153"/>
      <c r="G25" s="153"/>
      <c r="H25" s="28"/>
      <c r="I25" s="153"/>
      <c r="J25" s="153"/>
      <c r="K25" s="153"/>
      <c r="L25" s="414"/>
      <c r="M25" s="414"/>
      <c r="N25" s="412" t="s">
        <v>374</v>
      </c>
      <c r="O25" s="412" t="s">
        <v>359</v>
      </c>
    </row>
    <row r="26" spans="1:15" ht="15" customHeight="1">
      <c r="A26" s="349" t="s">
        <v>52</v>
      </c>
      <c r="B26" s="349"/>
      <c r="C26" s="110">
        <f t="shared" si="1"/>
        <v>180333.02609000003</v>
      </c>
      <c r="D26" s="112">
        <f aca="true" t="shared" si="8" ref="D26:K26">D27+D28+D42+D43+D44</f>
        <v>30197.313390000003</v>
      </c>
      <c r="E26" s="112">
        <f t="shared" si="8"/>
        <v>38076.90602</v>
      </c>
      <c r="F26" s="112">
        <f t="shared" si="8"/>
        <v>56512.95668</v>
      </c>
      <c r="G26" s="28">
        <f t="shared" si="8"/>
        <v>24323.65</v>
      </c>
      <c r="H26" s="28">
        <f t="shared" si="2"/>
        <v>31222.2</v>
      </c>
      <c r="I26" s="112">
        <f t="shared" si="8"/>
        <v>31222.2</v>
      </c>
      <c r="J26" s="112">
        <f t="shared" si="8"/>
        <v>0</v>
      </c>
      <c r="K26" s="112">
        <f t="shared" si="8"/>
        <v>0</v>
      </c>
      <c r="L26" s="414"/>
      <c r="M26" s="414"/>
      <c r="N26" s="412"/>
      <c r="O26" s="412"/>
    </row>
    <row r="27" spans="1:15" ht="15" customHeight="1">
      <c r="A27" s="349" t="s">
        <v>45</v>
      </c>
      <c r="B27" s="349"/>
      <c r="C27" s="110">
        <f t="shared" si="1"/>
        <v>733.6</v>
      </c>
      <c r="D27" s="112">
        <f aca="true" t="shared" si="9" ref="D27:G28">D47+D61+D98</f>
        <v>0</v>
      </c>
      <c r="E27" s="112">
        <f t="shared" si="9"/>
        <v>0</v>
      </c>
      <c r="F27" s="112">
        <f t="shared" si="9"/>
        <v>733.6</v>
      </c>
      <c r="G27" s="28">
        <f t="shared" si="9"/>
        <v>0</v>
      </c>
      <c r="H27" s="28">
        <f t="shared" si="2"/>
        <v>0</v>
      </c>
      <c r="I27" s="112">
        <f>I47+I61+I98</f>
        <v>0</v>
      </c>
      <c r="J27" s="112">
        <f>J47+J61+J98</f>
        <v>0</v>
      </c>
      <c r="K27" s="112">
        <f>K47+K61+K98</f>
        <v>0</v>
      </c>
      <c r="L27" s="414"/>
      <c r="M27" s="414"/>
      <c r="N27" s="412"/>
      <c r="O27" s="412"/>
    </row>
    <row r="28" spans="1:15" ht="15" customHeight="1">
      <c r="A28" s="349" t="s">
        <v>46</v>
      </c>
      <c r="B28" s="349"/>
      <c r="C28" s="110">
        <f t="shared" si="1"/>
        <v>177977.78809000002</v>
      </c>
      <c r="D28" s="112">
        <f t="shared" si="9"/>
        <v>29569.14439</v>
      </c>
      <c r="E28" s="112">
        <f t="shared" si="9"/>
        <v>37719.00602</v>
      </c>
      <c r="F28" s="112">
        <f t="shared" si="9"/>
        <v>55143.78768</v>
      </c>
      <c r="G28" s="28">
        <f t="shared" si="9"/>
        <v>24323.65</v>
      </c>
      <c r="H28" s="28">
        <f t="shared" si="2"/>
        <v>31222.2</v>
      </c>
      <c r="I28" s="28">
        <f>I48+I62+I99</f>
        <v>31222.2</v>
      </c>
      <c r="J28" s="28">
        <v>0</v>
      </c>
      <c r="K28" s="112">
        <f>K48+K62+K99</f>
        <v>0</v>
      </c>
      <c r="L28" s="414"/>
      <c r="M28" s="414"/>
      <c r="N28" s="412"/>
      <c r="O28" s="412"/>
    </row>
    <row r="29" spans="1:15" ht="15" customHeight="1" hidden="1">
      <c r="A29" s="130"/>
      <c r="B29" s="130"/>
      <c r="C29" s="110" t="e">
        <f t="shared" si="1"/>
        <v>#REF!</v>
      </c>
      <c r="D29" s="112" t="e">
        <f>#REF!</f>
        <v>#REF!</v>
      </c>
      <c r="E29" s="112" t="e">
        <f>#REF!</f>
        <v>#REF!</v>
      </c>
      <c r="F29" s="112" t="e">
        <f>#REF!</f>
        <v>#REF!</v>
      </c>
      <c r="G29" s="28"/>
      <c r="H29" s="28">
        <f t="shared" si="2"/>
        <v>0</v>
      </c>
      <c r="I29" s="112"/>
      <c r="J29" s="112"/>
      <c r="K29" s="112"/>
      <c r="L29" s="414"/>
      <c r="M29" s="414"/>
      <c r="N29" s="412"/>
      <c r="O29" s="412"/>
    </row>
    <row r="30" spans="1:15" ht="15" customHeight="1" hidden="1">
      <c r="A30" s="130"/>
      <c r="B30" s="130"/>
      <c r="C30" s="110" t="e">
        <f t="shared" si="1"/>
        <v>#REF!</v>
      </c>
      <c r="D30" s="112" t="e">
        <f>#REF!</f>
        <v>#REF!</v>
      </c>
      <c r="E30" s="112" t="e">
        <f>#REF!</f>
        <v>#REF!</v>
      </c>
      <c r="F30" s="112" t="e">
        <f>#REF!</f>
        <v>#REF!</v>
      </c>
      <c r="G30" s="28"/>
      <c r="H30" s="28">
        <f t="shared" si="2"/>
        <v>0</v>
      </c>
      <c r="I30" s="112"/>
      <c r="J30" s="112"/>
      <c r="K30" s="112"/>
      <c r="L30" s="414"/>
      <c r="M30" s="414"/>
      <c r="N30" s="412"/>
      <c r="O30" s="412"/>
    </row>
    <row r="31" spans="1:15" ht="15" customHeight="1" hidden="1">
      <c r="A31" s="130"/>
      <c r="B31" s="130"/>
      <c r="C31" s="110" t="e">
        <f t="shared" si="1"/>
        <v>#REF!</v>
      </c>
      <c r="D31" s="112" t="e">
        <f>#REF!</f>
        <v>#REF!</v>
      </c>
      <c r="E31" s="112" t="e">
        <f>#REF!</f>
        <v>#REF!</v>
      </c>
      <c r="F31" s="112" t="e">
        <f>#REF!</f>
        <v>#REF!</v>
      </c>
      <c r="G31" s="28"/>
      <c r="H31" s="28">
        <f t="shared" si="2"/>
        <v>0</v>
      </c>
      <c r="I31" s="112"/>
      <c r="J31" s="112"/>
      <c r="K31" s="112"/>
      <c r="L31" s="414"/>
      <c r="M31" s="414"/>
      <c r="N31" s="412"/>
      <c r="O31" s="412"/>
    </row>
    <row r="32" spans="1:15" ht="15" customHeight="1" hidden="1">
      <c r="A32" s="130"/>
      <c r="B32" s="130"/>
      <c r="C32" s="110" t="e">
        <f t="shared" si="1"/>
        <v>#REF!</v>
      </c>
      <c r="D32" s="112" t="e">
        <f>#REF!</f>
        <v>#REF!</v>
      </c>
      <c r="E32" s="112" t="e">
        <f>#REF!</f>
        <v>#REF!</v>
      </c>
      <c r="F32" s="112" t="e">
        <f>#REF!</f>
        <v>#REF!</v>
      </c>
      <c r="G32" s="28" t="e">
        <f>#REF!</f>
        <v>#REF!</v>
      </c>
      <c r="H32" s="28" t="e">
        <f t="shared" si="2"/>
        <v>#REF!</v>
      </c>
      <c r="I32" s="112" t="e">
        <f>#REF!</f>
        <v>#REF!</v>
      </c>
      <c r="J32" s="112" t="e">
        <f>#REF!</f>
        <v>#REF!</v>
      </c>
      <c r="K32" s="112" t="e">
        <f>#REF!</f>
        <v>#REF!</v>
      </c>
      <c r="L32" s="414"/>
      <c r="M32" s="414"/>
      <c r="N32" s="412"/>
      <c r="O32" s="412"/>
    </row>
    <row r="33" spans="1:15" ht="15" customHeight="1" hidden="1">
      <c r="A33" s="130"/>
      <c r="B33" s="130"/>
      <c r="C33" s="110" t="e">
        <f t="shared" si="1"/>
        <v>#REF!</v>
      </c>
      <c r="D33" s="112" t="e">
        <f>#REF!</f>
        <v>#REF!</v>
      </c>
      <c r="E33" s="112" t="e">
        <f>#REF!</f>
        <v>#REF!</v>
      </c>
      <c r="F33" s="112" t="e">
        <f>#REF!</f>
        <v>#REF!</v>
      </c>
      <c r="G33" s="28" t="e">
        <f>#REF!</f>
        <v>#REF!</v>
      </c>
      <c r="H33" s="28" t="e">
        <f t="shared" si="2"/>
        <v>#REF!</v>
      </c>
      <c r="I33" s="112" t="e">
        <f>#REF!</f>
        <v>#REF!</v>
      </c>
      <c r="J33" s="112" t="e">
        <f>#REF!</f>
        <v>#REF!</v>
      </c>
      <c r="K33" s="112" t="e">
        <f>#REF!</f>
        <v>#REF!</v>
      </c>
      <c r="L33" s="414"/>
      <c r="M33" s="414"/>
      <c r="N33" s="412"/>
      <c r="O33" s="412"/>
    </row>
    <row r="34" spans="1:15" ht="15" customHeight="1" hidden="1">
      <c r="A34" s="130"/>
      <c r="B34" s="130"/>
      <c r="C34" s="110" t="e">
        <f t="shared" si="1"/>
        <v>#REF!</v>
      </c>
      <c r="D34" s="112" t="e">
        <f>#REF!</f>
        <v>#REF!</v>
      </c>
      <c r="E34" s="112" t="e">
        <f>#REF!</f>
        <v>#REF!</v>
      </c>
      <c r="F34" s="112" t="e">
        <f>#REF!</f>
        <v>#REF!</v>
      </c>
      <c r="G34" s="28" t="e">
        <f>#REF!</f>
        <v>#REF!</v>
      </c>
      <c r="H34" s="28" t="e">
        <f t="shared" si="2"/>
        <v>#REF!</v>
      </c>
      <c r="I34" s="112" t="e">
        <f>#REF!</f>
        <v>#REF!</v>
      </c>
      <c r="J34" s="112" t="e">
        <f>#REF!</f>
        <v>#REF!</v>
      </c>
      <c r="K34" s="112" t="e">
        <f>#REF!</f>
        <v>#REF!</v>
      </c>
      <c r="L34" s="414"/>
      <c r="M34" s="414"/>
      <c r="N34" s="412"/>
      <c r="O34" s="412"/>
    </row>
    <row r="35" spans="1:15" ht="15" customHeight="1" hidden="1">
      <c r="A35" s="130"/>
      <c r="B35" s="130"/>
      <c r="C35" s="110">
        <f t="shared" si="1"/>
        <v>4335</v>
      </c>
      <c r="D35" s="112">
        <f>D106</f>
        <v>1445</v>
      </c>
      <c r="E35" s="112">
        <f>E106</f>
        <v>1445</v>
      </c>
      <c r="F35" s="112">
        <f>F106</f>
        <v>1445</v>
      </c>
      <c r="G35" s="28"/>
      <c r="H35" s="28">
        <f t="shared" si="2"/>
        <v>0</v>
      </c>
      <c r="I35" s="112"/>
      <c r="J35" s="112"/>
      <c r="K35" s="112"/>
      <c r="L35" s="414"/>
      <c r="M35" s="414"/>
      <c r="N35" s="412"/>
      <c r="O35" s="412"/>
    </row>
    <row r="36" spans="1:15" ht="15" customHeight="1" hidden="1">
      <c r="A36" s="130"/>
      <c r="B36" s="130"/>
      <c r="C36" s="110">
        <f t="shared" si="1"/>
        <v>95</v>
      </c>
      <c r="D36" s="112">
        <f>D113</f>
        <v>0</v>
      </c>
      <c r="E36" s="112">
        <f>E113</f>
        <v>0</v>
      </c>
      <c r="F36" s="112">
        <f>F113</f>
        <v>95</v>
      </c>
      <c r="G36" s="28"/>
      <c r="H36" s="28">
        <f t="shared" si="2"/>
        <v>0</v>
      </c>
      <c r="I36" s="112"/>
      <c r="J36" s="112"/>
      <c r="K36" s="112"/>
      <c r="L36" s="414"/>
      <c r="M36" s="414"/>
      <c r="N36" s="412"/>
      <c r="O36" s="412"/>
    </row>
    <row r="37" spans="1:15" ht="15" customHeight="1" hidden="1">
      <c r="A37" s="130"/>
      <c r="B37" s="130"/>
      <c r="C37" s="110">
        <f t="shared" si="1"/>
        <v>0</v>
      </c>
      <c r="D37" s="112"/>
      <c r="E37" s="112"/>
      <c r="F37" s="112"/>
      <c r="G37" s="28"/>
      <c r="H37" s="28">
        <f t="shared" si="2"/>
        <v>0</v>
      </c>
      <c r="I37" s="112"/>
      <c r="J37" s="112"/>
      <c r="K37" s="112"/>
      <c r="L37" s="414"/>
      <c r="M37" s="414"/>
      <c r="N37" s="412"/>
      <c r="O37" s="412"/>
    </row>
    <row r="38" spans="1:15" ht="15" customHeight="1" hidden="1">
      <c r="A38" s="130"/>
      <c r="B38" s="130"/>
      <c r="C38" s="110" t="e">
        <f t="shared" si="1"/>
        <v>#REF!</v>
      </c>
      <c r="D38" s="112" t="e">
        <f>D29+D32</f>
        <v>#REF!</v>
      </c>
      <c r="E38" s="112" t="e">
        <f>E29+E32</f>
        <v>#REF!</v>
      </c>
      <c r="F38" s="112" t="e">
        <f>F29+F32</f>
        <v>#REF!</v>
      </c>
      <c r="G38" s="28"/>
      <c r="H38" s="28">
        <f t="shared" si="2"/>
        <v>0</v>
      </c>
      <c r="I38" s="112"/>
      <c r="J38" s="112"/>
      <c r="K38" s="112"/>
      <c r="L38" s="414"/>
      <c r="M38" s="414"/>
      <c r="N38" s="412"/>
      <c r="O38" s="412"/>
    </row>
    <row r="39" spans="1:15" ht="15" customHeight="1" hidden="1">
      <c r="A39" s="130"/>
      <c r="B39" s="130"/>
      <c r="C39" s="110" t="e">
        <f t="shared" si="1"/>
        <v>#REF!</v>
      </c>
      <c r="D39" s="112" t="e">
        <f>D30+D34</f>
        <v>#REF!</v>
      </c>
      <c r="E39" s="112" t="e">
        <f>E30+E34</f>
        <v>#REF!</v>
      </c>
      <c r="F39" s="112" t="e">
        <f>F30+F34</f>
        <v>#REF!</v>
      </c>
      <c r="G39" s="28"/>
      <c r="H39" s="28">
        <f t="shared" si="2"/>
        <v>0</v>
      </c>
      <c r="I39" s="112"/>
      <c r="J39" s="112"/>
      <c r="K39" s="112"/>
      <c r="L39" s="414"/>
      <c r="M39" s="414"/>
      <c r="N39" s="412"/>
      <c r="O39" s="412"/>
    </row>
    <row r="40" spans="1:15" ht="15" customHeight="1" hidden="1">
      <c r="A40" s="130"/>
      <c r="B40" s="130"/>
      <c r="C40" s="110">
        <f t="shared" si="1"/>
        <v>4430</v>
      </c>
      <c r="D40" s="112">
        <f>D35+D36</f>
        <v>1445</v>
      </c>
      <c r="E40" s="112">
        <f>E35+E36</f>
        <v>1445</v>
      </c>
      <c r="F40" s="112">
        <f>F35+F36</f>
        <v>1540</v>
      </c>
      <c r="G40" s="28"/>
      <c r="H40" s="28">
        <f t="shared" si="2"/>
        <v>0</v>
      </c>
      <c r="I40" s="112"/>
      <c r="J40" s="112"/>
      <c r="K40" s="112"/>
      <c r="L40" s="414"/>
      <c r="M40" s="414"/>
      <c r="N40" s="412"/>
      <c r="O40" s="412"/>
    </row>
    <row r="41" spans="1:15" ht="15" customHeight="1" hidden="1">
      <c r="A41" s="130"/>
      <c r="B41" s="130"/>
      <c r="C41" s="110" t="e">
        <f t="shared" si="1"/>
        <v>#REF!</v>
      </c>
      <c r="D41" s="112" t="e">
        <f>D31+D33</f>
        <v>#REF!</v>
      </c>
      <c r="E41" s="112" t="e">
        <f>E31+E33</f>
        <v>#REF!</v>
      </c>
      <c r="F41" s="112" t="e">
        <f>F31+F33</f>
        <v>#REF!</v>
      </c>
      <c r="G41" s="28"/>
      <c r="H41" s="28">
        <f t="shared" si="2"/>
        <v>0</v>
      </c>
      <c r="I41" s="112"/>
      <c r="J41" s="112"/>
      <c r="K41" s="112"/>
      <c r="L41" s="414"/>
      <c r="M41" s="414"/>
      <c r="N41" s="412"/>
      <c r="O41" s="412"/>
    </row>
    <row r="42" spans="1:15" ht="15" customHeight="1">
      <c r="A42" s="349" t="s">
        <v>47</v>
      </c>
      <c r="B42" s="349"/>
      <c r="C42" s="110">
        <f t="shared" si="1"/>
        <v>1621.638</v>
      </c>
      <c r="D42" s="112">
        <f aca="true" t="shared" si="10" ref="D42:G44">D49+D63+D100</f>
        <v>628.169</v>
      </c>
      <c r="E42" s="112">
        <f t="shared" si="10"/>
        <v>357.9</v>
      </c>
      <c r="F42" s="112">
        <f t="shared" si="10"/>
        <v>635.569</v>
      </c>
      <c r="G42" s="28">
        <f t="shared" si="10"/>
        <v>0</v>
      </c>
      <c r="H42" s="28">
        <f t="shared" si="2"/>
        <v>0</v>
      </c>
      <c r="I42" s="112">
        <f aca="true" t="shared" si="11" ref="I42:K44">I49+I63+I100</f>
        <v>0</v>
      </c>
      <c r="J42" s="112">
        <f t="shared" si="11"/>
        <v>0</v>
      </c>
      <c r="K42" s="112">
        <f t="shared" si="11"/>
        <v>0</v>
      </c>
      <c r="L42" s="414"/>
      <c r="M42" s="414"/>
      <c r="N42" s="412"/>
      <c r="O42" s="412"/>
    </row>
    <row r="43" spans="1:15" ht="15" customHeight="1">
      <c r="A43" s="349" t="s">
        <v>48</v>
      </c>
      <c r="B43" s="349"/>
      <c r="C43" s="110">
        <f t="shared" si="1"/>
        <v>0</v>
      </c>
      <c r="D43" s="112">
        <f t="shared" si="10"/>
        <v>0</v>
      </c>
      <c r="E43" s="112">
        <f t="shared" si="10"/>
        <v>0</v>
      </c>
      <c r="F43" s="112">
        <f t="shared" si="10"/>
        <v>0</v>
      </c>
      <c r="G43" s="28">
        <f t="shared" si="10"/>
        <v>0</v>
      </c>
      <c r="H43" s="28">
        <f t="shared" si="2"/>
        <v>0</v>
      </c>
      <c r="I43" s="112">
        <f t="shared" si="11"/>
        <v>0</v>
      </c>
      <c r="J43" s="112">
        <f t="shared" si="11"/>
        <v>0</v>
      </c>
      <c r="K43" s="112">
        <f t="shared" si="11"/>
        <v>0</v>
      </c>
      <c r="L43" s="414"/>
      <c r="M43" s="414"/>
      <c r="N43" s="412"/>
      <c r="O43" s="412"/>
    </row>
    <row r="44" spans="1:15" ht="15" customHeight="1">
      <c r="A44" s="349" t="s">
        <v>49</v>
      </c>
      <c r="B44" s="349"/>
      <c r="C44" s="110">
        <f t="shared" si="1"/>
        <v>0</v>
      </c>
      <c r="D44" s="112">
        <f t="shared" si="10"/>
        <v>0</v>
      </c>
      <c r="E44" s="112">
        <f t="shared" si="10"/>
        <v>0</v>
      </c>
      <c r="F44" s="112">
        <f t="shared" si="10"/>
        <v>0</v>
      </c>
      <c r="G44" s="28">
        <f t="shared" si="10"/>
        <v>0</v>
      </c>
      <c r="H44" s="28">
        <f t="shared" si="2"/>
        <v>0</v>
      </c>
      <c r="I44" s="112">
        <f t="shared" si="11"/>
        <v>0</v>
      </c>
      <c r="J44" s="112">
        <f t="shared" si="11"/>
        <v>0</v>
      </c>
      <c r="K44" s="112">
        <f t="shared" si="11"/>
        <v>0</v>
      </c>
      <c r="L44" s="414"/>
      <c r="M44" s="414"/>
      <c r="N44" s="412"/>
      <c r="O44" s="412"/>
    </row>
    <row r="45" spans="1:15" ht="40.5" customHeight="1">
      <c r="A45" s="421" t="s">
        <v>408</v>
      </c>
      <c r="B45" s="422"/>
      <c r="C45" s="152"/>
      <c r="D45" s="152"/>
      <c r="E45" s="152"/>
      <c r="F45" s="152"/>
      <c r="G45" s="152"/>
      <c r="H45" s="28"/>
      <c r="I45" s="152"/>
      <c r="J45" s="152"/>
      <c r="K45" s="152"/>
      <c r="L45" s="348"/>
      <c r="M45" s="348"/>
      <c r="N45" s="347"/>
      <c r="O45" s="347"/>
    </row>
    <row r="46" spans="1:15" ht="15" customHeight="1">
      <c r="A46" s="349" t="s">
        <v>52</v>
      </c>
      <c r="B46" s="349"/>
      <c r="C46" s="110">
        <f t="shared" si="1"/>
        <v>14557.06539</v>
      </c>
      <c r="D46" s="112">
        <f aca="true" t="shared" si="12" ref="D46:K46">SUM(D47:D51)</f>
        <v>2985.94939</v>
      </c>
      <c r="E46" s="112">
        <f t="shared" si="12"/>
        <v>3481.116</v>
      </c>
      <c r="F46" s="112">
        <f t="shared" si="12"/>
        <v>3090</v>
      </c>
      <c r="G46" s="28">
        <f t="shared" si="12"/>
        <v>2000</v>
      </c>
      <c r="H46" s="28">
        <f t="shared" si="2"/>
        <v>3000</v>
      </c>
      <c r="I46" s="112">
        <f t="shared" si="12"/>
        <v>3000</v>
      </c>
      <c r="J46" s="112">
        <f t="shared" si="12"/>
        <v>0</v>
      </c>
      <c r="K46" s="112">
        <f t="shared" si="12"/>
        <v>0</v>
      </c>
      <c r="L46" s="348"/>
      <c r="M46" s="348"/>
      <c r="N46" s="347"/>
      <c r="O46" s="347"/>
    </row>
    <row r="47" spans="1:15" ht="15" customHeight="1">
      <c r="A47" s="349" t="s">
        <v>45</v>
      </c>
      <c r="B47" s="349"/>
      <c r="C47" s="110">
        <f t="shared" si="1"/>
        <v>0</v>
      </c>
      <c r="D47" s="112">
        <f aca="true" t="shared" si="13" ref="D47:K51">D54</f>
        <v>0</v>
      </c>
      <c r="E47" s="112">
        <f t="shared" si="13"/>
        <v>0</v>
      </c>
      <c r="F47" s="112">
        <f t="shared" si="13"/>
        <v>0</v>
      </c>
      <c r="G47" s="28">
        <f t="shared" si="13"/>
        <v>0</v>
      </c>
      <c r="H47" s="28">
        <f t="shared" si="2"/>
        <v>0</v>
      </c>
      <c r="I47" s="112">
        <f t="shared" si="13"/>
        <v>0</v>
      </c>
      <c r="J47" s="112">
        <f t="shared" si="13"/>
        <v>0</v>
      </c>
      <c r="K47" s="112">
        <f t="shared" si="13"/>
        <v>0</v>
      </c>
      <c r="L47" s="348"/>
      <c r="M47" s="348"/>
      <c r="N47" s="347"/>
      <c r="O47" s="347"/>
    </row>
    <row r="48" spans="1:15" ht="15" customHeight="1">
      <c r="A48" s="349" t="s">
        <v>46</v>
      </c>
      <c r="B48" s="349"/>
      <c r="C48" s="110">
        <f t="shared" si="1"/>
        <v>14557.06539</v>
      </c>
      <c r="D48" s="112">
        <f t="shared" si="13"/>
        <v>2985.94939</v>
      </c>
      <c r="E48" s="112">
        <f t="shared" si="13"/>
        <v>3481.116</v>
      </c>
      <c r="F48" s="112">
        <f t="shared" si="13"/>
        <v>3090</v>
      </c>
      <c r="G48" s="28">
        <f t="shared" si="13"/>
        <v>2000</v>
      </c>
      <c r="H48" s="28">
        <f t="shared" si="2"/>
        <v>3000</v>
      </c>
      <c r="I48" s="112">
        <f>I55</f>
        <v>3000</v>
      </c>
      <c r="J48" s="112">
        <f t="shared" si="13"/>
        <v>0</v>
      </c>
      <c r="K48" s="112">
        <f t="shared" si="13"/>
        <v>0</v>
      </c>
      <c r="L48" s="348"/>
      <c r="M48" s="348"/>
      <c r="N48" s="347"/>
      <c r="O48" s="347"/>
    </row>
    <row r="49" spans="1:15" ht="15" customHeight="1">
      <c r="A49" s="349" t="s">
        <v>47</v>
      </c>
      <c r="B49" s="349"/>
      <c r="C49" s="110">
        <f t="shared" si="1"/>
        <v>0</v>
      </c>
      <c r="D49" s="112">
        <f t="shared" si="13"/>
        <v>0</v>
      </c>
      <c r="E49" s="112">
        <f t="shared" si="13"/>
        <v>0</v>
      </c>
      <c r="F49" s="112">
        <f t="shared" si="13"/>
        <v>0</v>
      </c>
      <c r="G49" s="28">
        <f t="shared" si="13"/>
        <v>0</v>
      </c>
      <c r="H49" s="28">
        <f t="shared" si="2"/>
        <v>0</v>
      </c>
      <c r="I49" s="112">
        <f t="shared" si="13"/>
        <v>0</v>
      </c>
      <c r="J49" s="112">
        <f t="shared" si="13"/>
        <v>0</v>
      </c>
      <c r="K49" s="112">
        <f t="shared" si="13"/>
        <v>0</v>
      </c>
      <c r="L49" s="348"/>
      <c r="M49" s="348"/>
      <c r="N49" s="347"/>
      <c r="O49" s="347"/>
    </row>
    <row r="50" spans="1:15" ht="15" customHeight="1">
      <c r="A50" s="349" t="s">
        <v>48</v>
      </c>
      <c r="B50" s="349"/>
      <c r="C50" s="110">
        <f t="shared" si="1"/>
        <v>0</v>
      </c>
      <c r="D50" s="112">
        <f t="shared" si="13"/>
        <v>0</v>
      </c>
      <c r="E50" s="112">
        <f t="shared" si="13"/>
        <v>0</v>
      </c>
      <c r="F50" s="112">
        <f t="shared" si="13"/>
        <v>0</v>
      </c>
      <c r="G50" s="28">
        <f t="shared" si="13"/>
        <v>0</v>
      </c>
      <c r="H50" s="28">
        <f t="shared" si="2"/>
        <v>0</v>
      </c>
      <c r="I50" s="112">
        <f t="shared" si="13"/>
        <v>0</v>
      </c>
      <c r="J50" s="112">
        <f t="shared" si="13"/>
        <v>0</v>
      </c>
      <c r="K50" s="112">
        <f t="shared" si="13"/>
        <v>0</v>
      </c>
      <c r="L50" s="348"/>
      <c r="M50" s="348"/>
      <c r="N50" s="347"/>
      <c r="O50" s="347"/>
    </row>
    <row r="51" spans="1:15" ht="15" customHeight="1">
      <c r="A51" s="349" t="s">
        <v>49</v>
      </c>
      <c r="B51" s="349"/>
      <c r="C51" s="110">
        <f t="shared" si="1"/>
        <v>0</v>
      </c>
      <c r="D51" s="112">
        <f t="shared" si="13"/>
        <v>0</v>
      </c>
      <c r="E51" s="112">
        <f t="shared" si="13"/>
        <v>0</v>
      </c>
      <c r="F51" s="112">
        <f t="shared" si="13"/>
        <v>0</v>
      </c>
      <c r="G51" s="28">
        <f t="shared" si="13"/>
        <v>0</v>
      </c>
      <c r="H51" s="28">
        <f t="shared" si="2"/>
        <v>0</v>
      </c>
      <c r="I51" s="112">
        <f t="shared" si="13"/>
        <v>0</v>
      </c>
      <c r="J51" s="112">
        <f t="shared" si="13"/>
        <v>0</v>
      </c>
      <c r="K51" s="112">
        <f t="shared" si="13"/>
        <v>0</v>
      </c>
      <c r="L51" s="348"/>
      <c r="M51" s="348"/>
      <c r="N51" s="347"/>
      <c r="O51" s="347"/>
    </row>
    <row r="52" spans="1:15" ht="81" customHeight="1">
      <c r="A52" s="423" t="s">
        <v>202</v>
      </c>
      <c r="B52" s="424"/>
      <c r="C52" s="152"/>
      <c r="D52" s="152"/>
      <c r="E52" s="152"/>
      <c r="F52" s="152"/>
      <c r="G52" s="152"/>
      <c r="H52" s="28"/>
      <c r="I52" s="152"/>
      <c r="J52" s="152"/>
      <c r="K52" s="152"/>
      <c r="L52" s="348" t="s">
        <v>223</v>
      </c>
      <c r="M52" s="348" t="s">
        <v>53</v>
      </c>
      <c r="N52" s="347"/>
      <c r="O52" s="347"/>
    </row>
    <row r="53" spans="1:15" ht="15" customHeight="1">
      <c r="A53" s="349" t="s">
        <v>52</v>
      </c>
      <c r="B53" s="349"/>
      <c r="C53" s="110">
        <f t="shared" si="1"/>
        <v>14557.06539</v>
      </c>
      <c r="D53" s="112">
        <f aca="true" t="shared" si="14" ref="D53:K53">D54+D55+D56+D57+D58</f>
        <v>2985.94939</v>
      </c>
      <c r="E53" s="112">
        <f t="shared" si="14"/>
        <v>3481.116</v>
      </c>
      <c r="F53" s="112">
        <f t="shared" si="14"/>
        <v>3090</v>
      </c>
      <c r="G53" s="28">
        <f>G54+G55+G56+G57+G58</f>
        <v>2000</v>
      </c>
      <c r="H53" s="28">
        <f t="shared" si="2"/>
        <v>3000</v>
      </c>
      <c r="I53" s="112">
        <f t="shared" si="14"/>
        <v>3000</v>
      </c>
      <c r="J53" s="112">
        <f t="shared" si="14"/>
        <v>0</v>
      </c>
      <c r="K53" s="112">
        <f t="shared" si="14"/>
        <v>0</v>
      </c>
      <c r="L53" s="348"/>
      <c r="M53" s="348"/>
      <c r="N53" s="347"/>
      <c r="O53" s="347"/>
    </row>
    <row r="54" spans="1:15" ht="15" customHeight="1">
      <c r="A54" s="349" t="s">
        <v>45</v>
      </c>
      <c r="B54" s="349"/>
      <c r="C54" s="110">
        <f t="shared" si="1"/>
        <v>0</v>
      </c>
      <c r="D54" s="112">
        <v>0</v>
      </c>
      <c r="E54" s="112">
        <v>0</v>
      </c>
      <c r="F54" s="112">
        <v>0</v>
      </c>
      <c r="G54" s="28">
        <v>0</v>
      </c>
      <c r="H54" s="28">
        <f t="shared" si="2"/>
        <v>0</v>
      </c>
      <c r="I54" s="112">
        <v>0</v>
      </c>
      <c r="J54" s="112">
        <v>0</v>
      </c>
      <c r="K54" s="112">
        <v>0</v>
      </c>
      <c r="L54" s="348"/>
      <c r="M54" s="348"/>
      <c r="N54" s="347"/>
      <c r="O54" s="347"/>
    </row>
    <row r="55" spans="1:15" ht="15" customHeight="1">
      <c r="A55" s="355" t="s">
        <v>54</v>
      </c>
      <c r="B55" s="355"/>
      <c r="C55" s="110">
        <f t="shared" si="1"/>
        <v>14557.06539</v>
      </c>
      <c r="D55" s="112">
        <v>2985.94939</v>
      </c>
      <c r="E55" s="112">
        <v>3481.116</v>
      </c>
      <c r="F55" s="134">
        <v>3090</v>
      </c>
      <c r="G55" s="28">
        <v>2000</v>
      </c>
      <c r="H55" s="28">
        <f t="shared" si="2"/>
        <v>3000</v>
      </c>
      <c r="I55" s="112">
        <v>3000</v>
      </c>
      <c r="J55" s="112">
        <v>0</v>
      </c>
      <c r="K55" s="112">
        <v>0</v>
      </c>
      <c r="L55" s="348"/>
      <c r="M55" s="348"/>
      <c r="N55" s="347"/>
      <c r="O55" s="347"/>
    </row>
    <row r="56" spans="1:15" ht="15" customHeight="1">
      <c r="A56" s="349" t="s">
        <v>47</v>
      </c>
      <c r="B56" s="349"/>
      <c r="C56" s="110">
        <f t="shared" si="1"/>
        <v>0</v>
      </c>
      <c r="D56" s="112">
        <v>0</v>
      </c>
      <c r="E56" s="112">
        <v>0</v>
      </c>
      <c r="F56" s="112">
        <v>0</v>
      </c>
      <c r="G56" s="28">
        <v>0</v>
      </c>
      <c r="H56" s="28">
        <f t="shared" si="2"/>
        <v>0</v>
      </c>
      <c r="I56" s="112">
        <v>0</v>
      </c>
      <c r="J56" s="112">
        <v>0</v>
      </c>
      <c r="K56" s="112">
        <v>0</v>
      </c>
      <c r="L56" s="348"/>
      <c r="M56" s="348"/>
      <c r="N56" s="347"/>
      <c r="O56" s="347"/>
    </row>
    <row r="57" spans="1:15" ht="15" customHeight="1">
      <c r="A57" s="349" t="s">
        <v>48</v>
      </c>
      <c r="B57" s="349"/>
      <c r="C57" s="110">
        <f t="shared" si="1"/>
        <v>0</v>
      </c>
      <c r="D57" s="112">
        <v>0</v>
      </c>
      <c r="E57" s="112">
        <v>0</v>
      </c>
      <c r="F57" s="112">
        <v>0</v>
      </c>
      <c r="G57" s="28">
        <v>0</v>
      </c>
      <c r="H57" s="28">
        <f t="shared" si="2"/>
        <v>0</v>
      </c>
      <c r="I57" s="112">
        <v>0</v>
      </c>
      <c r="J57" s="112">
        <v>0</v>
      </c>
      <c r="K57" s="112">
        <v>0</v>
      </c>
      <c r="L57" s="348"/>
      <c r="M57" s="348"/>
      <c r="N57" s="347"/>
      <c r="O57" s="347"/>
    </row>
    <row r="58" spans="1:15" ht="15" customHeight="1">
      <c r="A58" s="349" t="s">
        <v>49</v>
      </c>
      <c r="B58" s="349"/>
      <c r="C58" s="110">
        <f t="shared" si="1"/>
        <v>0</v>
      </c>
      <c r="D58" s="112">
        <v>0</v>
      </c>
      <c r="E58" s="112">
        <v>0</v>
      </c>
      <c r="F58" s="112">
        <v>0</v>
      </c>
      <c r="G58" s="28">
        <v>0</v>
      </c>
      <c r="H58" s="28">
        <f t="shared" si="2"/>
        <v>0</v>
      </c>
      <c r="I58" s="112">
        <v>0</v>
      </c>
      <c r="J58" s="112">
        <v>0</v>
      </c>
      <c r="K58" s="112">
        <v>0</v>
      </c>
      <c r="L58" s="348"/>
      <c r="M58" s="348"/>
      <c r="N58" s="347"/>
      <c r="O58" s="347"/>
    </row>
    <row r="59" spans="1:15" ht="35.25" customHeight="1">
      <c r="A59" s="423" t="s">
        <v>56</v>
      </c>
      <c r="B59" s="424"/>
      <c r="C59" s="152"/>
      <c r="D59" s="152"/>
      <c r="E59" s="152"/>
      <c r="F59" s="152"/>
      <c r="G59" s="152"/>
      <c r="H59" s="28"/>
      <c r="I59" s="152"/>
      <c r="J59" s="152"/>
      <c r="K59" s="152"/>
      <c r="L59" s="348"/>
      <c r="M59" s="348"/>
      <c r="N59" s="374"/>
      <c r="O59" s="374"/>
    </row>
    <row r="60" spans="1:15" ht="15" customHeight="1">
      <c r="A60" s="349" t="s">
        <v>52</v>
      </c>
      <c r="B60" s="349"/>
      <c r="C60" s="110">
        <f aca="true" t="shared" si="15" ref="C60:C65">D60+E60+F60+G60+I60+J60+K60</f>
        <v>157052.1227</v>
      </c>
      <c r="D60" s="112">
        <f aca="true" t="shared" si="16" ref="D60:K60">D61+D62+D63+D64+D65</f>
        <v>25138.195</v>
      </c>
      <c r="E60" s="112">
        <f t="shared" si="16"/>
        <v>32792.89002</v>
      </c>
      <c r="F60" s="112">
        <f t="shared" si="16"/>
        <v>51247.38768</v>
      </c>
      <c r="G60" s="28">
        <f t="shared" si="16"/>
        <v>22323.65</v>
      </c>
      <c r="H60" s="28">
        <f t="shared" si="2"/>
        <v>25550</v>
      </c>
      <c r="I60" s="112">
        <f t="shared" si="16"/>
        <v>25550</v>
      </c>
      <c r="J60" s="112">
        <f t="shared" si="16"/>
        <v>0</v>
      </c>
      <c r="K60" s="112">
        <f t="shared" si="16"/>
        <v>0</v>
      </c>
      <c r="L60" s="348"/>
      <c r="M60" s="348"/>
      <c r="N60" s="374"/>
      <c r="O60" s="374"/>
    </row>
    <row r="61" spans="1:15" ht="15" customHeight="1">
      <c r="A61" s="349" t="s">
        <v>45</v>
      </c>
      <c r="B61" s="349"/>
      <c r="C61" s="110">
        <f t="shared" si="15"/>
        <v>733.6</v>
      </c>
      <c r="D61" s="112">
        <f aca="true" t="shared" si="17" ref="D61:E65">D68+D77+D84</f>
        <v>0</v>
      </c>
      <c r="E61" s="112">
        <f t="shared" si="17"/>
        <v>0</v>
      </c>
      <c r="F61" s="112">
        <f>F68+F77+F84+F91</f>
        <v>733.6</v>
      </c>
      <c r="G61" s="112">
        <f>G68+G77+G84+G91</f>
        <v>0</v>
      </c>
      <c r="H61" s="28">
        <f t="shared" si="2"/>
        <v>0</v>
      </c>
      <c r="I61" s="112">
        <f aca="true" t="shared" si="18" ref="I61:K62">I68+I77+I84+I91</f>
        <v>0</v>
      </c>
      <c r="J61" s="112">
        <f t="shared" si="18"/>
        <v>0</v>
      </c>
      <c r="K61" s="112">
        <f t="shared" si="18"/>
        <v>0</v>
      </c>
      <c r="L61" s="348"/>
      <c r="M61" s="348"/>
      <c r="N61" s="374"/>
      <c r="O61" s="374"/>
    </row>
    <row r="62" spans="1:15" ht="15" customHeight="1">
      <c r="A62" s="349" t="s">
        <v>46</v>
      </c>
      <c r="B62" s="349"/>
      <c r="C62" s="110">
        <f t="shared" si="15"/>
        <v>156318.5227</v>
      </c>
      <c r="D62" s="112">
        <f t="shared" si="17"/>
        <v>25138.195</v>
      </c>
      <c r="E62" s="112">
        <f t="shared" si="17"/>
        <v>32792.89002</v>
      </c>
      <c r="F62" s="112">
        <f>F69+F78+F85+F92</f>
        <v>50513.78768</v>
      </c>
      <c r="G62" s="112">
        <f>G69+G78+G85+G92</f>
        <v>22323.65</v>
      </c>
      <c r="H62" s="28">
        <f t="shared" si="2"/>
        <v>25550</v>
      </c>
      <c r="I62" s="112">
        <f t="shared" si="18"/>
        <v>25550</v>
      </c>
      <c r="J62" s="112">
        <f t="shared" si="18"/>
        <v>0</v>
      </c>
      <c r="K62" s="112">
        <f t="shared" si="18"/>
        <v>0</v>
      </c>
      <c r="L62" s="348"/>
      <c r="M62" s="348"/>
      <c r="N62" s="374"/>
      <c r="O62" s="374"/>
    </row>
    <row r="63" spans="1:15" ht="15" customHeight="1">
      <c r="A63" s="349" t="s">
        <v>47</v>
      </c>
      <c r="B63" s="349"/>
      <c r="C63" s="110">
        <f t="shared" si="15"/>
        <v>0</v>
      </c>
      <c r="D63" s="112">
        <f t="shared" si="17"/>
        <v>0</v>
      </c>
      <c r="E63" s="112">
        <f t="shared" si="17"/>
        <v>0</v>
      </c>
      <c r="F63" s="112">
        <f>F70+F79+F86</f>
        <v>0</v>
      </c>
      <c r="G63" s="112">
        <f>G70+G79+G86+G93</f>
        <v>0</v>
      </c>
      <c r="H63" s="28">
        <f t="shared" si="2"/>
        <v>0</v>
      </c>
      <c r="I63" s="112">
        <f aca="true" t="shared" si="19" ref="I63:K65">I70+I79+I86</f>
        <v>0</v>
      </c>
      <c r="J63" s="112">
        <f t="shared" si="19"/>
        <v>0</v>
      </c>
      <c r="K63" s="112">
        <f t="shared" si="19"/>
        <v>0</v>
      </c>
      <c r="L63" s="348"/>
      <c r="M63" s="348"/>
      <c r="N63" s="374"/>
      <c r="O63" s="374"/>
    </row>
    <row r="64" spans="1:15" ht="15" customHeight="1">
      <c r="A64" s="349" t="s">
        <v>48</v>
      </c>
      <c r="B64" s="349"/>
      <c r="C64" s="110">
        <f t="shared" si="15"/>
        <v>0</v>
      </c>
      <c r="D64" s="112">
        <f t="shared" si="17"/>
        <v>0</v>
      </c>
      <c r="E64" s="112">
        <f t="shared" si="17"/>
        <v>0</v>
      </c>
      <c r="F64" s="112">
        <f>F71+F80+F87</f>
        <v>0</v>
      </c>
      <c r="G64" s="112">
        <f>G71+G80+G87+G94</f>
        <v>0</v>
      </c>
      <c r="H64" s="28">
        <f t="shared" si="2"/>
        <v>0</v>
      </c>
      <c r="I64" s="112">
        <f t="shared" si="19"/>
        <v>0</v>
      </c>
      <c r="J64" s="112">
        <f t="shared" si="19"/>
        <v>0</v>
      </c>
      <c r="K64" s="112">
        <f t="shared" si="19"/>
        <v>0</v>
      </c>
      <c r="L64" s="348"/>
      <c r="M64" s="348"/>
      <c r="N64" s="374"/>
      <c r="O64" s="374"/>
    </row>
    <row r="65" spans="1:15" ht="15" customHeight="1">
      <c r="A65" s="349" t="s">
        <v>49</v>
      </c>
      <c r="B65" s="349"/>
      <c r="C65" s="110">
        <f t="shared" si="15"/>
        <v>0</v>
      </c>
      <c r="D65" s="112">
        <f t="shared" si="17"/>
        <v>0</v>
      </c>
      <c r="E65" s="112">
        <f t="shared" si="17"/>
        <v>0</v>
      </c>
      <c r="F65" s="112">
        <f>F72+F81+F88</f>
        <v>0</v>
      </c>
      <c r="G65" s="112">
        <f>G72+G81+G88+G95</f>
        <v>0</v>
      </c>
      <c r="H65" s="28">
        <f t="shared" si="2"/>
        <v>0</v>
      </c>
      <c r="I65" s="112">
        <f t="shared" si="19"/>
        <v>0</v>
      </c>
      <c r="J65" s="112">
        <f t="shared" si="19"/>
        <v>0</v>
      </c>
      <c r="K65" s="112">
        <f t="shared" si="19"/>
        <v>0</v>
      </c>
      <c r="L65" s="348"/>
      <c r="M65" s="348"/>
      <c r="N65" s="374"/>
      <c r="O65" s="374"/>
    </row>
    <row r="66" spans="1:15" ht="129.75" customHeight="1">
      <c r="A66" s="364" t="s">
        <v>236</v>
      </c>
      <c r="B66" s="365"/>
      <c r="C66" s="152"/>
      <c r="D66" s="152"/>
      <c r="E66" s="152"/>
      <c r="F66" s="152"/>
      <c r="G66" s="152"/>
      <c r="H66" s="28"/>
      <c r="I66" s="152"/>
      <c r="J66" s="152"/>
      <c r="K66" s="152"/>
      <c r="L66" s="308" t="s">
        <v>223</v>
      </c>
      <c r="M66" s="348" t="s">
        <v>53</v>
      </c>
      <c r="N66" s="315" t="s">
        <v>256</v>
      </c>
      <c r="O66" s="315" t="s">
        <v>257</v>
      </c>
    </row>
    <row r="67" spans="1:15" ht="15" customHeight="1">
      <c r="A67" s="349" t="s">
        <v>52</v>
      </c>
      <c r="B67" s="349"/>
      <c r="C67" s="110">
        <f aca="true" t="shared" si="20" ref="C67:C72">D67+E67+F67+G67+I67+J67+K67</f>
        <v>24712.0226</v>
      </c>
      <c r="D67" s="112">
        <f aca="true" t="shared" si="21" ref="D67:K67">D68+D69+D70+D71+D72</f>
        <v>10949.7326</v>
      </c>
      <c r="E67" s="112">
        <f t="shared" si="21"/>
        <v>3762.29</v>
      </c>
      <c r="F67" s="112">
        <f t="shared" si="21"/>
        <v>4000</v>
      </c>
      <c r="G67" s="28">
        <f t="shared" si="21"/>
        <v>3000</v>
      </c>
      <c r="H67" s="28">
        <f t="shared" si="2"/>
        <v>3000</v>
      </c>
      <c r="I67" s="112">
        <f t="shared" si="21"/>
        <v>3000</v>
      </c>
      <c r="J67" s="112">
        <f t="shared" si="21"/>
        <v>0</v>
      </c>
      <c r="K67" s="112">
        <f t="shared" si="21"/>
        <v>0</v>
      </c>
      <c r="L67" s="309"/>
      <c r="M67" s="348"/>
      <c r="N67" s="315"/>
      <c r="O67" s="315"/>
    </row>
    <row r="68" spans="1:15" ht="15" customHeight="1">
      <c r="A68" s="349" t="s">
        <v>45</v>
      </c>
      <c r="B68" s="349"/>
      <c r="C68" s="110">
        <f t="shared" si="20"/>
        <v>0</v>
      </c>
      <c r="D68" s="112">
        <v>0</v>
      </c>
      <c r="E68" s="112">
        <v>0</v>
      </c>
      <c r="F68" s="112">
        <v>0</v>
      </c>
      <c r="G68" s="28">
        <v>0</v>
      </c>
      <c r="H68" s="28">
        <f t="shared" si="2"/>
        <v>0</v>
      </c>
      <c r="I68" s="112">
        <v>0</v>
      </c>
      <c r="J68" s="112">
        <v>0</v>
      </c>
      <c r="K68" s="112">
        <v>0</v>
      </c>
      <c r="L68" s="309"/>
      <c r="M68" s="348"/>
      <c r="N68" s="315"/>
      <c r="O68" s="315"/>
    </row>
    <row r="69" spans="1:15" ht="15" customHeight="1">
      <c r="A69" s="355" t="s">
        <v>54</v>
      </c>
      <c r="B69" s="355"/>
      <c r="C69" s="110">
        <f t="shared" si="20"/>
        <v>24712.0226</v>
      </c>
      <c r="D69" s="112">
        <v>10949.7326</v>
      </c>
      <c r="E69" s="112">
        <v>3762.29</v>
      </c>
      <c r="F69" s="112">
        <v>4000</v>
      </c>
      <c r="G69" s="28">
        <v>3000</v>
      </c>
      <c r="H69" s="28">
        <f t="shared" si="2"/>
        <v>3000</v>
      </c>
      <c r="I69" s="112">
        <v>3000</v>
      </c>
      <c r="J69" s="112">
        <v>0</v>
      </c>
      <c r="K69" s="112">
        <v>0</v>
      </c>
      <c r="L69" s="309"/>
      <c r="M69" s="348"/>
      <c r="N69" s="315"/>
      <c r="O69" s="315"/>
    </row>
    <row r="70" spans="1:15" ht="15" customHeight="1">
      <c r="A70" s="349" t="s">
        <v>47</v>
      </c>
      <c r="B70" s="349"/>
      <c r="C70" s="110">
        <f t="shared" si="20"/>
        <v>0</v>
      </c>
      <c r="D70" s="112">
        <v>0</v>
      </c>
      <c r="E70" s="112">
        <v>0</v>
      </c>
      <c r="F70" s="112">
        <v>0</v>
      </c>
      <c r="G70" s="28">
        <v>0</v>
      </c>
      <c r="H70" s="28">
        <f t="shared" si="2"/>
        <v>0</v>
      </c>
      <c r="I70" s="112">
        <v>0</v>
      </c>
      <c r="J70" s="112">
        <v>0</v>
      </c>
      <c r="K70" s="112">
        <v>0</v>
      </c>
      <c r="L70" s="309"/>
      <c r="M70" s="348"/>
      <c r="N70" s="315"/>
      <c r="O70" s="315"/>
    </row>
    <row r="71" spans="1:15" ht="15" customHeight="1">
      <c r="A71" s="349" t="s">
        <v>48</v>
      </c>
      <c r="B71" s="349"/>
      <c r="C71" s="110">
        <f t="shared" si="20"/>
        <v>0</v>
      </c>
      <c r="D71" s="112">
        <v>0</v>
      </c>
      <c r="E71" s="112">
        <v>0</v>
      </c>
      <c r="F71" s="112">
        <v>0</v>
      </c>
      <c r="G71" s="28">
        <v>0</v>
      </c>
      <c r="H71" s="28">
        <f t="shared" si="2"/>
        <v>0</v>
      </c>
      <c r="I71" s="112">
        <v>0</v>
      </c>
      <c r="J71" s="112">
        <v>0</v>
      </c>
      <c r="K71" s="112">
        <v>0</v>
      </c>
      <c r="L71" s="309"/>
      <c r="M71" s="348"/>
      <c r="N71" s="315"/>
      <c r="O71" s="315"/>
    </row>
    <row r="72" spans="1:15" ht="13.5" customHeight="1">
      <c r="A72" s="349" t="s">
        <v>49</v>
      </c>
      <c r="B72" s="349"/>
      <c r="C72" s="110">
        <f t="shared" si="20"/>
        <v>0</v>
      </c>
      <c r="D72" s="112">
        <v>0</v>
      </c>
      <c r="E72" s="112">
        <v>0</v>
      </c>
      <c r="F72" s="112">
        <v>0</v>
      </c>
      <c r="G72" s="28">
        <v>0</v>
      </c>
      <c r="H72" s="28">
        <f t="shared" si="2"/>
        <v>0</v>
      </c>
      <c r="I72" s="112">
        <v>0</v>
      </c>
      <c r="J72" s="112">
        <v>0</v>
      </c>
      <c r="K72" s="112">
        <v>0</v>
      </c>
      <c r="L72" s="310"/>
      <c r="M72" s="348"/>
      <c r="N72" s="315"/>
      <c r="O72" s="315"/>
    </row>
    <row r="73" spans="1:15" ht="47.25" customHeight="1">
      <c r="A73" s="351" t="s">
        <v>210</v>
      </c>
      <c r="B73" s="352"/>
      <c r="C73" s="209"/>
      <c r="D73" s="209"/>
      <c r="E73" s="209"/>
      <c r="F73" s="209"/>
      <c r="G73" s="204"/>
      <c r="H73" s="204"/>
      <c r="I73" s="209"/>
      <c r="J73" s="209"/>
      <c r="K73" s="209"/>
      <c r="L73" s="212"/>
      <c r="M73" s="205"/>
      <c r="N73" s="213"/>
      <c r="O73" s="213" t="s">
        <v>375</v>
      </c>
    </row>
    <row r="74" spans="1:15" ht="45" customHeight="1">
      <c r="A74" s="351" t="s">
        <v>211</v>
      </c>
      <c r="B74" s="352"/>
      <c r="C74" s="209"/>
      <c r="D74" s="209"/>
      <c r="E74" s="209"/>
      <c r="F74" s="209"/>
      <c r="G74" s="204"/>
      <c r="H74" s="204"/>
      <c r="I74" s="209"/>
      <c r="J74" s="209"/>
      <c r="K74" s="209"/>
      <c r="L74" s="205"/>
      <c r="M74" s="205"/>
      <c r="N74" s="214"/>
      <c r="O74" s="213" t="s">
        <v>372</v>
      </c>
    </row>
    <row r="75" spans="1:42" s="10" customFormat="1" ht="26.25" customHeight="1">
      <c r="A75" s="329" t="s">
        <v>237</v>
      </c>
      <c r="B75" s="331"/>
      <c r="C75" s="154"/>
      <c r="D75" s="154"/>
      <c r="E75" s="154"/>
      <c r="F75" s="154"/>
      <c r="G75" s="154"/>
      <c r="H75" s="28"/>
      <c r="I75" s="154"/>
      <c r="J75" s="154"/>
      <c r="K75" s="154"/>
      <c r="L75" s="348" t="s">
        <v>223</v>
      </c>
      <c r="M75" s="346"/>
      <c r="N75" s="413"/>
      <c r="O75" s="413"/>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row>
    <row r="76" spans="1:15" ht="15" customHeight="1">
      <c r="A76" s="349" t="s">
        <v>52</v>
      </c>
      <c r="B76" s="349"/>
      <c r="C76" s="110">
        <f aca="true" t="shared" si="22" ref="C76:C81">D76+E76+F76+G76+I76+J76+K76</f>
        <v>120349.5001</v>
      </c>
      <c r="D76" s="112">
        <f aca="true" t="shared" si="23" ref="D76:K76">D77+D78+D79+D80+D81</f>
        <v>13891.4624</v>
      </c>
      <c r="E76" s="112">
        <f t="shared" si="23"/>
        <v>29030.60002</v>
      </c>
      <c r="F76" s="112">
        <f t="shared" si="23"/>
        <v>44913.78768</v>
      </c>
      <c r="G76" s="28">
        <f t="shared" si="23"/>
        <v>16313.65</v>
      </c>
      <c r="H76" s="28">
        <f t="shared" si="2"/>
        <v>16200</v>
      </c>
      <c r="I76" s="112">
        <f t="shared" si="23"/>
        <v>16200</v>
      </c>
      <c r="J76" s="112">
        <f t="shared" si="23"/>
        <v>0</v>
      </c>
      <c r="K76" s="112">
        <f t="shared" si="23"/>
        <v>0</v>
      </c>
      <c r="L76" s="348"/>
      <c r="M76" s="346"/>
      <c r="N76" s="413"/>
      <c r="O76" s="413"/>
    </row>
    <row r="77" spans="1:15" ht="15" customHeight="1">
      <c r="A77" s="349" t="s">
        <v>45</v>
      </c>
      <c r="B77" s="349"/>
      <c r="C77" s="110">
        <f t="shared" si="22"/>
        <v>0</v>
      </c>
      <c r="D77" s="112">
        <v>0</v>
      </c>
      <c r="E77" s="112">
        <v>0</v>
      </c>
      <c r="F77" s="112">
        <v>0</v>
      </c>
      <c r="G77" s="28">
        <v>0</v>
      </c>
      <c r="H77" s="28">
        <f t="shared" si="2"/>
        <v>0</v>
      </c>
      <c r="I77" s="112">
        <v>0</v>
      </c>
      <c r="J77" s="112">
        <v>0</v>
      </c>
      <c r="K77" s="112">
        <v>0</v>
      </c>
      <c r="L77" s="348"/>
      <c r="M77" s="346"/>
      <c r="N77" s="413"/>
      <c r="O77" s="413"/>
    </row>
    <row r="78" spans="1:42" s="29" customFormat="1" ht="15" customHeight="1">
      <c r="A78" s="349" t="s">
        <v>46</v>
      </c>
      <c r="B78" s="349"/>
      <c r="C78" s="110">
        <f t="shared" si="22"/>
        <v>120349.5001</v>
      </c>
      <c r="D78" s="112">
        <v>13891.4624</v>
      </c>
      <c r="E78" s="112">
        <v>29030.60002</v>
      </c>
      <c r="F78" s="113">
        <v>44913.78768</v>
      </c>
      <c r="G78" s="28">
        <v>16313.65</v>
      </c>
      <c r="H78" s="28">
        <f t="shared" si="2"/>
        <v>16200</v>
      </c>
      <c r="I78" s="112">
        <v>16200</v>
      </c>
      <c r="J78" s="112">
        <v>0</v>
      </c>
      <c r="K78" s="112"/>
      <c r="L78" s="348"/>
      <c r="M78" s="346"/>
      <c r="N78" s="413"/>
      <c r="O78" s="413"/>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row>
    <row r="79" spans="1:15" ht="15" customHeight="1">
      <c r="A79" s="349" t="s">
        <v>47</v>
      </c>
      <c r="B79" s="349"/>
      <c r="C79" s="110">
        <f t="shared" si="22"/>
        <v>0</v>
      </c>
      <c r="D79" s="112">
        <v>0</v>
      </c>
      <c r="E79" s="112">
        <v>0</v>
      </c>
      <c r="F79" s="112">
        <v>0</v>
      </c>
      <c r="G79" s="28">
        <v>0</v>
      </c>
      <c r="H79" s="28">
        <f aca="true" t="shared" si="24" ref="H79:H142">I79+J79+K79</f>
        <v>0</v>
      </c>
      <c r="I79" s="112">
        <v>0</v>
      </c>
      <c r="J79" s="112">
        <v>0</v>
      </c>
      <c r="K79" s="112">
        <v>0</v>
      </c>
      <c r="L79" s="348"/>
      <c r="M79" s="346"/>
      <c r="N79" s="413"/>
      <c r="O79" s="413"/>
    </row>
    <row r="80" spans="1:15" ht="15" customHeight="1">
      <c r="A80" s="349" t="s">
        <v>48</v>
      </c>
      <c r="B80" s="349"/>
      <c r="C80" s="110">
        <f t="shared" si="22"/>
        <v>0</v>
      </c>
      <c r="D80" s="112">
        <v>0</v>
      </c>
      <c r="E80" s="112">
        <v>0</v>
      </c>
      <c r="F80" s="112">
        <v>0</v>
      </c>
      <c r="G80" s="28">
        <v>0</v>
      </c>
      <c r="H80" s="28">
        <f t="shared" si="24"/>
        <v>0</v>
      </c>
      <c r="I80" s="112">
        <v>0</v>
      </c>
      <c r="J80" s="112">
        <v>0</v>
      </c>
      <c r="K80" s="112">
        <v>0</v>
      </c>
      <c r="L80" s="348"/>
      <c r="M80" s="346"/>
      <c r="N80" s="413"/>
      <c r="O80" s="413"/>
    </row>
    <row r="81" spans="1:15" ht="15" customHeight="1">
      <c r="A81" s="349" t="s">
        <v>49</v>
      </c>
      <c r="B81" s="349"/>
      <c r="C81" s="110">
        <f t="shared" si="22"/>
        <v>0</v>
      </c>
      <c r="D81" s="112">
        <v>0</v>
      </c>
      <c r="E81" s="112">
        <v>0</v>
      </c>
      <c r="F81" s="112">
        <v>0</v>
      </c>
      <c r="G81" s="28">
        <v>0</v>
      </c>
      <c r="H81" s="28">
        <f t="shared" si="24"/>
        <v>0</v>
      </c>
      <c r="I81" s="112">
        <v>0</v>
      </c>
      <c r="J81" s="112">
        <v>0</v>
      </c>
      <c r="K81" s="112">
        <v>0</v>
      </c>
      <c r="L81" s="348"/>
      <c r="M81" s="346"/>
      <c r="N81" s="413"/>
      <c r="O81" s="413"/>
    </row>
    <row r="82" spans="1:15" ht="36" customHeight="1">
      <c r="A82" s="364" t="s">
        <v>271</v>
      </c>
      <c r="B82" s="365"/>
      <c r="C82" s="152"/>
      <c r="D82" s="152"/>
      <c r="E82" s="152"/>
      <c r="F82" s="152"/>
      <c r="G82" s="152"/>
      <c r="H82" s="28"/>
      <c r="I82" s="152"/>
      <c r="J82" s="152"/>
      <c r="K82" s="152"/>
      <c r="L82" s="348" t="s">
        <v>220</v>
      </c>
      <c r="M82" s="348" t="s">
        <v>201</v>
      </c>
      <c r="N82" s="315"/>
      <c r="O82" s="315"/>
    </row>
    <row r="83" spans="1:15" ht="15" customHeight="1">
      <c r="A83" s="349" t="s">
        <v>52</v>
      </c>
      <c r="B83" s="349"/>
      <c r="C83" s="110">
        <f aca="true" t="shared" si="25" ref="C83:C88">D83+E83+F83+G83+I83+J83+K83</f>
        <v>297</v>
      </c>
      <c r="D83" s="112">
        <f aca="true" t="shared" si="26" ref="D83:K83">D84+D85+D86+D87+D88</f>
        <v>297</v>
      </c>
      <c r="E83" s="112">
        <f t="shared" si="26"/>
        <v>0</v>
      </c>
      <c r="F83" s="112">
        <f t="shared" si="26"/>
        <v>0</v>
      </c>
      <c r="G83" s="28">
        <f t="shared" si="26"/>
        <v>0</v>
      </c>
      <c r="H83" s="28">
        <f t="shared" si="24"/>
        <v>0</v>
      </c>
      <c r="I83" s="112">
        <f t="shared" si="26"/>
        <v>0</v>
      </c>
      <c r="J83" s="112">
        <f t="shared" si="26"/>
        <v>0</v>
      </c>
      <c r="K83" s="112">
        <f t="shared" si="26"/>
        <v>0</v>
      </c>
      <c r="L83" s="348"/>
      <c r="M83" s="348"/>
      <c r="N83" s="315"/>
      <c r="O83" s="315"/>
    </row>
    <row r="84" spans="1:15" ht="15" customHeight="1">
      <c r="A84" s="349" t="s">
        <v>45</v>
      </c>
      <c r="B84" s="349"/>
      <c r="C84" s="110">
        <f t="shared" si="25"/>
        <v>0</v>
      </c>
      <c r="D84" s="112">
        <v>0</v>
      </c>
      <c r="E84" s="112">
        <v>0</v>
      </c>
      <c r="F84" s="112">
        <v>0</v>
      </c>
      <c r="G84" s="28">
        <v>0</v>
      </c>
      <c r="H84" s="28">
        <f t="shared" si="24"/>
        <v>0</v>
      </c>
      <c r="I84" s="112">
        <v>0</v>
      </c>
      <c r="J84" s="112">
        <v>0</v>
      </c>
      <c r="K84" s="112">
        <v>0</v>
      </c>
      <c r="L84" s="348"/>
      <c r="M84" s="348"/>
      <c r="N84" s="315"/>
      <c r="O84" s="315"/>
    </row>
    <row r="85" spans="1:15" ht="15" customHeight="1">
      <c r="A85" s="349" t="s">
        <v>46</v>
      </c>
      <c r="B85" s="349"/>
      <c r="C85" s="110">
        <f t="shared" si="25"/>
        <v>297</v>
      </c>
      <c r="D85" s="112">
        <v>297</v>
      </c>
      <c r="E85" s="112">
        <v>0</v>
      </c>
      <c r="F85" s="112">
        <v>0</v>
      </c>
      <c r="G85" s="28">
        <v>0</v>
      </c>
      <c r="H85" s="28">
        <f t="shared" si="24"/>
        <v>0</v>
      </c>
      <c r="I85" s="112">
        <v>0</v>
      </c>
      <c r="J85" s="112">
        <v>0</v>
      </c>
      <c r="K85" s="112">
        <v>0</v>
      </c>
      <c r="L85" s="348"/>
      <c r="M85" s="348"/>
      <c r="N85" s="315"/>
      <c r="O85" s="315"/>
    </row>
    <row r="86" spans="1:15" ht="15" customHeight="1">
      <c r="A86" s="349" t="s">
        <v>47</v>
      </c>
      <c r="B86" s="349"/>
      <c r="C86" s="110">
        <f t="shared" si="25"/>
        <v>0</v>
      </c>
      <c r="D86" s="112">
        <v>0</v>
      </c>
      <c r="E86" s="112">
        <v>0</v>
      </c>
      <c r="F86" s="112">
        <v>0</v>
      </c>
      <c r="G86" s="28">
        <v>0</v>
      </c>
      <c r="H86" s="28">
        <f t="shared" si="24"/>
        <v>0</v>
      </c>
      <c r="I86" s="112">
        <v>0</v>
      </c>
      <c r="J86" s="112">
        <v>0</v>
      </c>
      <c r="K86" s="112">
        <v>0</v>
      </c>
      <c r="L86" s="348"/>
      <c r="M86" s="348"/>
      <c r="N86" s="315"/>
      <c r="O86" s="315"/>
    </row>
    <row r="87" spans="1:15" ht="15" customHeight="1">
      <c r="A87" s="349" t="s">
        <v>48</v>
      </c>
      <c r="B87" s="349"/>
      <c r="C87" s="110">
        <f t="shared" si="25"/>
        <v>0</v>
      </c>
      <c r="D87" s="112">
        <v>0</v>
      </c>
      <c r="E87" s="112">
        <v>0</v>
      </c>
      <c r="F87" s="112">
        <v>0</v>
      </c>
      <c r="G87" s="28">
        <v>0</v>
      </c>
      <c r="H87" s="28">
        <f t="shared" si="24"/>
        <v>0</v>
      </c>
      <c r="I87" s="112">
        <v>0</v>
      </c>
      <c r="J87" s="112">
        <v>0</v>
      </c>
      <c r="K87" s="112">
        <v>0</v>
      </c>
      <c r="L87" s="348"/>
      <c r="M87" s="348"/>
      <c r="N87" s="315"/>
      <c r="O87" s="315"/>
    </row>
    <row r="88" spans="1:15" ht="15" customHeight="1">
      <c r="A88" s="349" t="s">
        <v>49</v>
      </c>
      <c r="B88" s="349"/>
      <c r="C88" s="110">
        <f t="shared" si="25"/>
        <v>0</v>
      </c>
      <c r="D88" s="112">
        <v>0</v>
      </c>
      <c r="E88" s="112">
        <v>0</v>
      </c>
      <c r="F88" s="112">
        <v>0</v>
      </c>
      <c r="G88" s="28">
        <v>0</v>
      </c>
      <c r="H88" s="28">
        <f t="shared" si="24"/>
        <v>0</v>
      </c>
      <c r="I88" s="112">
        <v>0</v>
      </c>
      <c r="J88" s="112">
        <v>0</v>
      </c>
      <c r="K88" s="112">
        <v>0</v>
      </c>
      <c r="L88" s="348"/>
      <c r="M88" s="348"/>
      <c r="N88" s="315"/>
      <c r="O88" s="315"/>
    </row>
    <row r="89" spans="1:15" ht="38.25" customHeight="1">
      <c r="A89" s="364" t="s">
        <v>272</v>
      </c>
      <c r="B89" s="365"/>
      <c r="C89" s="152"/>
      <c r="D89" s="152"/>
      <c r="E89" s="152"/>
      <c r="F89" s="152"/>
      <c r="G89" s="152"/>
      <c r="H89" s="28"/>
      <c r="I89" s="152"/>
      <c r="J89" s="152"/>
      <c r="K89" s="152"/>
      <c r="L89" s="348" t="s">
        <v>223</v>
      </c>
      <c r="M89" s="348"/>
      <c r="N89" s="413"/>
      <c r="O89" s="413"/>
    </row>
    <row r="90" spans="1:15" ht="15" customHeight="1">
      <c r="A90" s="349" t="s">
        <v>52</v>
      </c>
      <c r="B90" s="349"/>
      <c r="C90" s="110">
        <f aca="true" t="shared" si="27" ref="C90:C95">D90+E90+F90+G90+I90+J90+K90</f>
        <v>11693.6</v>
      </c>
      <c r="D90" s="112">
        <f aca="true" t="shared" si="28" ref="D90:K90">D91+D92+D93+D94+D95</f>
        <v>0</v>
      </c>
      <c r="E90" s="112">
        <f t="shared" si="28"/>
        <v>0</v>
      </c>
      <c r="F90" s="112">
        <f t="shared" si="28"/>
        <v>2333.6</v>
      </c>
      <c r="G90" s="28">
        <f t="shared" si="28"/>
        <v>3010</v>
      </c>
      <c r="H90" s="28">
        <f t="shared" si="24"/>
        <v>6350</v>
      </c>
      <c r="I90" s="112">
        <f t="shared" si="28"/>
        <v>6350</v>
      </c>
      <c r="J90" s="112">
        <f t="shared" si="28"/>
        <v>0</v>
      </c>
      <c r="K90" s="112">
        <f t="shared" si="28"/>
        <v>0</v>
      </c>
      <c r="L90" s="348"/>
      <c r="M90" s="348"/>
      <c r="N90" s="413"/>
      <c r="O90" s="413"/>
    </row>
    <row r="91" spans="1:15" ht="15" customHeight="1">
      <c r="A91" s="349" t="s">
        <v>45</v>
      </c>
      <c r="B91" s="349"/>
      <c r="C91" s="110">
        <f t="shared" si="27"/>
        <v>733.6</v>
      </c>
      <c r="D91" s="112">
        <v>0</v>
      </c>
      <c r="E91" s="112">
        <v>0</v>
      </c>
      <c r="F91" s="134">
        <v>733.6</v>
      </c>
      <c r="G91" s="28">
        <v>0</v>
      </c>
      <c r="H91" s="28">
        <f t="shared" si="24"/>
        <v>0</v>
      </c>
      <c r="I91" s="112">
        <v>0</v>
      </c>
      <c r="J91" s="112">
        <v>0</v>
      </c>
      <c r="K91" s="112">
        <v>0</v>
      </c>
      <c r="L91" s="348"/>
      <c r="M91" s="348"/>
      <c r="N91" s="413"/>
      <c r="O91" s="413"/>
    </row>
    <row r="92" spans="1:15" ht="15" customHeight="1">
      <c r="A92" s="349" t="s">
        <v>46</v>
      </c>
      <c r="B92" s="349"/>
      <c r="C92" s="110">
        <f t="shared" si="27"/>
        <v>10960</v>
      </c>
      <c r="D92" s="112">
        <v>0</v>
      </c>
      <c r="E92" s="112">
        <v>0</v>
      </c>
      <c r="F92" s="134">
        <v>1600</v>
      </c>
      <c r="G92" s="28">
        <v>3010</v>
      </c>
      <c r="H92" s="28">
        <f t="shared" si="24"/>
        <v>6350</v>
      </c>
      <c r="I92" s="112">
        <v>6350</v>
      </c>
      <c r="J92" s="112">
        <v>0</v>
      </c>
      <c r="K92" s="112">
        <v>0</v>
      </c>
      <c r="L92" s="348"/>
      <c r="M92" s="348"/>
      <c r="N92" s="413"/>
      <c r="O92" s="413"/>
    </row>
    <row r="93" spans="1:15" ht="15" customHeight="1">
      <c r="A93" s="349" t="s">
        <v>47</v>
      </c>
      <c r="B93" s="349"/>
      <c r="C93" s="110">
        <f t="shared" si="27"/>
        <v>0</v>
      </c>
      <c r="D93" s="112">
        <v>0</v>
      </c>
      <c r="E93" s="112">
        <v>0</v>
      </c>
      <c r="F93" s="112">
        <v>0</v>
      </c>
      <c r="G93" s="28">
        <v>0</v>
      </c>
      <c r="H93" s="28">
        <f t="shared" si="24"/>
        <v>0</v>
      </c>
      <c r="I93" s="112">
        <v>0</v>
      </c>
      <c r="J93" s="112">
        <v>0</v>
      </c>
      <c r="K93" s="112">
        <v>0</v>
      </c>
      <c r="L93" s="348"/>
      <c r="M93" s="348"/>
      <c r="N93" s="413"/>
      <c r="O93" s="413"/>
    </row>
    <row r="94" spans="1:15" ht="15" customHeight="1">
      <c r="A94" s="349" t="s">
        <v>48</v>
      </c>
      <c r="B94" s="349"/>
      <c r="C94" s="110">
        <f t="shared" si="27"/>
        <v>0</v>
      </c>
      <c r="D94" s="112">
        <v>0</v>
      </c>
      <c r="E94" s="112">
        <v>0</v>
      </c>
      <c r="F94" s="112">
        <v>0</v>
      </c>
      <c r="G94" s="28">
        <v>0</v>
      </c>
      <c r="H94" s="28">
        <f t="shared" si="24"/>
        <v>0</v>
      </c>
      <c r="I94" s="112">
        <v>0</v>
      </c>
      <c r="J94" s="112">
        <v>0</v>
      </c>
      <c r="K94" s="112">
        <v>0</v>
      </c>
      <c r="L94" s="348"/>
      <c r="M94" s="348"/>
      <c r="N94" s="413"/>
      <c r="O94" s="413"/>
    </row>
    <row r="95" spans="1:15" ht="15" customHeight="1">
      <c r="A95" s="349" t="s">
        <v>49</v>
      </c>
      <c r="B95" s="349"/>
      <c r="C95" s="110">
        <f t="shared" si="27"/>
        <v>0</v>
      </c>
      <c r="D95" s="112">
        <v>0</v>
      </c>
      <c r="E95" s="112">
        <v>0</v>
      </c>
      <c r="F95" s="112">
        <v>0</v>
      </c>
      <c r="G95" s="28">
        <v>0</v>
      </c>
      <c r="H95" s="28">
        <f t="shared" si="24"/>
        <v>0</v>
      </c>
      <c r="I95" s="112">
        <v>0</v>
      </c>
      <c r="J95" s="112">
        <v>0</v>
      </c>
      <c r="K95" s="112">
        <v>0</v>
      </c>
      <c r="L95" s="348"/>
      <c r="M95" s="348"/>
      <c r="N95" s="413"/>
      <c r="O95" s="413"/>
    </row>
    <row r="96" spans="1:15" ht="37.5" customHeight="1">
      <c r="A96" s="364" t="s">
        <v>57</v>
      </c>
      <c r="B96" s="365"/>
      <c r="C96" s="152"/>
      <c r="D96" s="152"/>
      <c r="E96" s="152"/>
      <c r="F96" s="152"/>
      <c r="G96" s="152"/>
      <c r="H96" s="28"/>
      <c r="I96" s="152"/>
      <c r="J96" s="152"/>
      <c r="K96" s="152"/>
      <c r="L96" s="348"/>
      <c r="M96" s="308"/>
      <c r="N96" s="303"/>
      <c r="O96" s="303"/>
    </row>
    <row r="97" spans="1:15" ht="15" customHeight="1">
      <c r="A97" s="349" t="s">
        <v>52</v>
      </c>
      <c r="B97" s="349"/>
      <c r="C97" s="110">
        <f aca="true" t="shared" si="29" ref="C97:C109">D97+E97+F97+G97+I97+J97+K97</f>
        <v>8723.838</v>
      </c>
      <c r="D97" s="112">
        <f aca="true" t="shared" si="30" ref="D97:K97">D98+D99+D100+D101+D102</f>
        <v>2073.169</v>
      </c>
      <c r="E97" s="112">
        <f t="shared" si="30"/>
        <v>1802.9</v>
      </c>
      <c r="F97" s="112">
        <f t="shared" si="30"/>
        <v>2175.569</v>
      </c>
      <c r="G97" s="28">
        <f t="shared" si="30"/>
        <v>0</v>
      </c>
      <c r="H97" s="28">
        <f t="shared" si="24"/>
        <v>2672.2</v>
      </c>
      <c r="I97" s="112">
        <f t="shared" si="30"/>
        <v>2672.2</v>
      </c>
      <c r="J97" s="112">
        <f t="shared" si="30"/>
        <v>0</v>
      </c>
      <c r="K97" s="112">
        <f t="shared" si="30"/>
        <v>0</v>
      </c>
      <c r="L97" s="348"/>
      <c r="M97" s="309"/>
      <c r="N97" s="304"/>
      <c r="O97" s="304"/>
    </row>
    <row r="98" spans="1:15" ht="15" customHeight="1">
      <c r="A98" s="349" t="s">
        <v>45</v>
      </c>
      <c r="B98" s="349"/>
      <c r="C98" s="110">
        <f t="shared" si="29"/>
        <v>0</v>
      </c>
      <c r="D98" s="112">
        <f aca="true" t="shared" si="31" ref="D98:G102">D105+D112</f>
        <v>0</v>
      </c>
      <c r="E98" s="112">
        <f t="shared" si="31"/>
        <v>0</v>
      </c>
      <c r="F98" s="112">
        <f t="shared" si="31"/>
        <v>0</v>
      </c>
      <c r="G98" s="28">
        <f t="shared" si="31"/>
        <v>0</v>
      </c>
      <c r="H98" s="28">
        <f t="shared" si="24"/>
        <v>0</v>
      </c>
      <c r="I98" s="112">
        <f aca="true" t="shared" si="32" ref="I98:K102">I105+I112</f>
        <v>0</v>
      </c>
      <c r="J98" s="112">
        <f t="shared" si="32"/>
        <v>0</v>
      </c>
      <c r="K98" s="112">
        <f t="shared" si="32"/>
        <v>0</v>
      </c>
      <c r="L98" s="348"/>
      <c r="M98" s="309"/>
      <c r="N98" s="304"/>
      <c r="O98" s="304"/>
    </row>
    <row r="99" spans="1:15" ht="15" customHeight="1">
      <c r="A99" s="349" t="s">
        <v>46</v>
      </c>
      <c r="B99" s="349"/>
      <c r="C99" s="110">
        <f t="shared" si="29"/>
        <v>7102.2</v>
      </c>
      <c r="D99" s="112">
        <f t="shared" si="31"/>
        <v>1445</v>
      </c>
      <c r="E99" s="112">
        <f t="shared" si="31"/>
        <v>1445</v>
      </c>
      <c r="F99" s="112">
        <f t="shared" si="31"/>
        <v>1540</v>
      </c>
      <c r="G99" s="28">
        <f t="shared" si="31"/>
        <v>0</v>
      </c>
      <c r="H99" s="28">
        <f t="shared" si="24"/>
        <v>2672.2</v>
      </c>
      <c r="I99" s="112">
        <f t="shared" si="32"/>
        <v>2672.2</v>
      </c>
      <c r="J99" s="112">
        <f t="shared" si="32"/>
        <v>0</v>
      </c>
      <c r="K99" s="112">
        <f t="shared" si="32"/>
        <v>0</v>
      </c>
      <c r="L99" s="348"/>
      <c r="M99" s="309"/>
      <c r="N99" s="304"/>
      <c r="O99" s="304"/>
    </row>
    <row r="100" spans="1:15" ht="15" customHeight="1">
      <c r="A100" s="349" t="s">
        <v>47</v>
      </c>
      <c r="B100" s="349"/>
      <c r="C100" s="110">
        <f t="shared" si="29"/>
        <v>1621.638</v>
      </c>
      <c r="D100" s="112">
        <f t="shared" si="31"/>
        <v>628.169</v>
      </c>
      <c r="E100" s="112">
        <f t="shared" si="31"/>
        <v>357.9</v>
      </c>
      <c r="F100" s="112">
        <f t="shared" si="31"/>
        <v>635.569</v>
      </c>
      <c r="G100" s="28">
        <f t="shared" si="31"/>
        <v>0</v>
      </c>
      <c r="H100" s="28">
        <f t="shared" si="24"/>
        <v>0</v>
      </c>
      <c r="I100" s="112">
        <f t="shared" si="32"/>
        <v>0</v>
      </c>
      <c r="J100" s="112">
        <f t="shared" si="32"/>
        <v>0</v>
      </c>
      <c r="K100" s="112">
        <f t="shared" si="32"/>
        <v>0</v>
      </c>
      <c r="L100" s="348"/>
      <c r="M100" s="309"/>
      <c r="N100" s="304"/>
      <c r="O100" s="304"/>
    </row>
    <row r="101" spans="1:15" ht="15" customHeight="1">
      <c r="A101" s="349" t="s">
        <v>48</v>
      </c>
      <c r="B101" s="349"/>
      <c r="C101" s="110">
        <f t="shared" si="29"/>
        <v>0</v>
      </c>
      <c r="D101" s="112">
        <f t="shared" si="31"/>
        <v>0</v>
      </c>
      <c r="E101" s="112">
        <f t="shared" si="31"/>
        <v>0</v>
      </c>
      <c r="F101" s="112">
        <f t="shared" si="31"/>
        <v>0</v>
      </c>
      <c r="G101" s="28">
        <f t="shared" si="31"/>
        <v>0</v>
      </c>
      <c r="H101" s="28">
        <f t="shared" si="24"/>
        <v>0</v>
      </c>
      <c r="I101" s="112">
        <f t="shared" si="32"/>
        <v>0</v>
      </c>
      <c r="J101" s="112">
        <f t="shared" si="32"/>
        <v>0</v>
      </c>
      <c r="K101" s="112">
        <f t="shared" si="32"/>
        <v>0</v>
      </c>
      <c r="L101" s="348"/>
      <c r="M101" s="309"/>
      <c r="N101" s="304"/>
      <c r="O101" s="304"/>
    </row>
    <row r="102" spans="1:15" ht="15" customHeight="1">
      <c r="A102" s="349" t="s">
        <v>49</v>
      </c>
      <c r="B102" s="349"/>
      <c r="C102" s="110">
        <f t="shared" si="29"/>
        <v>0</v>
      </c>
      <c r="D102" s="112">
        <f t="shared" si="31"/>
        <v>0</v>
      </c>
      <c r="E102" s="112">
        <f t="shared" si="31"/>
        <v>0</v>
      </c>
      <c r="F102" s="112">
        <f t="shared" si="31"/>
        <v>0</v>
      </c>
      <c r="G102" s="28">
        <f t="shared" si="31"/>
        <v>0</v>
      </c>
      <c r="H102" s="28">
        <f t="shared" si="24"/>
        <v>0</v>
      </c>
      <c r="I102" s="112">
        <f t="shared" si="32"/>
        <v>0</v>
      </c>
      <c r="J102" s="112">
        <f t="shared" si="32"/>
        <v>0</v>
      </c>
      <c r="K102" s="112">
        <f t="shared" si="32"/>
        <v>0</v>
      </c>
      <c r="L102" s="348"/>
      <c r="M102" s="310"/>
      <c r="N102" s="305"/>
      <c r="O102" s="305"/>
    </row>
    <row r="103" spans="1:15" ht="59.25" customHeight="1">
      <c r="A103" s="364" t="s">
        <v>58</v>
      </c>
      <c r="B103" s="365"/>
      <c r="C103" s="152"/>
      <c r="D103" s="152"/>
      <c r="E103" s="152"/>
      <c r="F103" s="152"/>
      <c r="G103" s="152"/>
      <c r="H103" s="28"/>
      <c r="I103" s="152"/>
      <c r="J103" s="152"/>
      <c r="K103" s="152"/>
      <c r="L103" s="348" t="s">
        <v>229</v>
      </c>
      <c r="M103" s="348" t="s">
        <v>203</v>
      </c>
      <c r="N103" s="315" t="s">
        <v>266</v>
      </c>
      <c r="O103" s="315" t="s">
        <v>267</v>
      </c>
    </row>
    <row r="104" spans="1:15" ht="15" customHeight="1">
      <c r="A104" s="349" t="s">
        <v>52</v>
      </c>
      <c r="B104" s="349"/>
      <c r="C104" s="110">
        <f t="shared" si="29"/>
        <v>7951.638</v>
      </c>
      <c r="D104" s="112">
        <f aca="true" t="shared" si="33" ref="D104:K104">D105+D106+D107+D108+D109</f>
        <v>2073.169</v>
      </c>
      <c r="E104" s="112">
        <f t="shared" si="33"/>
        <v>1802.9</v>
      </c>
      <c r="F104" s="112">
        <f t="shared" si="33"/>
        <v>2075.569</v>
      </c>
      <c r="G104" s="28">
        <f t="shared" si="33"/>
        <v>0</v>
      </c>
      <c r="H104" s="28">
        <f t="shared" si="24"/>
        <v>2000</v>
      </c>
      <c r="I104" s="112">
        <f t="shared" si="33"/>
        <v>2000</v>
      </c>
      <c r="J104" s="112">
        <f t="shared" si="33"/>
        <v>0</v>
      </c>
      <c r="K104" s="112">
        <f t="shared" si="33"/>
        <v>0</v>
      </c>
      <c r="L104" s="348"/>
      <c r="M104" s="348"/>
      <c r="N104" s="315"/>
      <c r="O104" s="315"/>
    </row>
    <row r="105" spans="1:15" ht="15" customHeight="1">
      <c r="A105" s="349" t="s">
        <v>45</v>
      </c>
      <c r="B105" s="349"/>
      <c r="C105" s="110">
        <f t="shared" si="29"/>
        <v>0</v>
      </c>
      <c r="D105" s="112">
        <v>0</v>
      </c>
      <c r="E105" s="112">
        <v>0</v>
      </c>
      <c r="F105" s="112">
        <v>0</v>
      </c>
      <c r="G105" s="28">
        <v>0</v>
      </c>
      <c r="H105" s="28">
        <f t="shared" si="24"/>
        <v>0</v>
      </c>
      <c r="I105" s="112">
        <v>0</v>
      </c>
      <c r="J105" s="112">
        <v>0</v>
      </c>
      <c r="K105" s="112">
        <v>0</v>
      </c>
      <c r="L105" s="348"/>
      <c r="M105" s="348"/>
      <c r="N105" s="315"/>
      <c r="O105" s="315"/>
    </row>
    <row r="106" spans="1:15" ht="15" customHeight="1">
      <c r="A106" s="349" t="s">
        <v>46</v>
      </c>
      <c r="B106" s="349"/>
      <c r="C106" s="110">
        <f t="shared" si="29"/>
        <v>6335</v>
      </c>
      <c r="D106" s="112">
        <v>1445</v>
      </c>
      <c r="E106" s="112">
        <v>1445</v>
      </c>
      <c r="F106" s="112">
        <v>1445</v>
      </c>
      <c r="G106" s="28">
        <v>0</v>
      </c>
      <c r="H106" s="28">
        <f t="shared" si="24"/>
        <v>2000</v>
      </c>
      <c r="I106" s="112">
        <v>2000</v>
      </c>
      <c r="J106" s="112">
        <v>0</v>
      </c>
      <c r="K106" s="112">
        <v>0</v>
      </c>
      <c r="L106" s="348"/>
      <c r="M106" s="348"/>
      <c r="N106" s="315"/>
      <c r="O106" s="315"/>
    </row>
    <row r="107" spans="1:15" ht="15" customHeight="1">
      <c r="A107" s="349" t="s">
        <v>47</v>
      </c>
      <c r="B107" s="349"/>
      <c r="C107" s="110">
        <f t="shared" si="29"/>
        <v>1616.638</v>
      </c>
      <c r="D107" s="112">
        <v>628.169</v>
      </c>
      <c r="E107" s="112">
        <v>357.9</v>
      </c>
      <c r="F107" s="134">
        <v>630.569</v>
      </c>
      <c r="G107" s="28">
        <v>0</v>
      </c>
      <c r="H107" s="28">
        <f t="shared" si="24"/>
        <v>0</v>
      </c>
      <c r="I107" s="112">
        <v>0</v>
      </c>
      <c r="J107" s="112">
        <v>0</v>
      </c>
      <c r="K107" s="112">
        <v>0</v>
      </c>
      <c r="L107" s="348"/>
      <c r="M107" s="348"/>
      <c r="N107" s="315"/>
      <c r="O107" s="315"/>
    </row>
    <row r="108" spans="1:15" ht="15" customHeight="1">
      <c r="A108" s="349" t="s">
        <v>48</v>
      </c>
      <c r="B108" s="349"/>
      <c r="C108" s="110">
        <f t="shared" si="29"/>
        <v>0</v>
      </c>
      <c r="D108" s="112">
        <v>0</v>
      </c>
      <c r="E108" s="112">
        <v>0</v>
      </c>
      <c r="F108" s="112">
        <v>0</v>
      </c>
      <c r="G108" s="28">
        <v>0</v>
      </c>
      <c r="H108" s="28">
        <f t="shared" si="24"/>
        <v>0</v>
      </c>
      <c r="I108" s="112">
        <v>0</v>
      </c>
      <c r="J108" s="112">
        <v>0</v>
      </c>
      <c r="K108" s="112">
        <v>0</v>
      </c>
      <c r="L108" s="348"/>
      <c r="M108" s="348"/>
      <c r="N108" s="315"/>
      <c r="O108" s="315"/>
    </row>
    <row r="109" spans="1:15" ht="15" customHeight="1">
      <c r="A109" s="349" t="s">
        <v>49</v>
      </c>
      <c r="B109" s="349"/>
      <c r="C109" s="110">
        <f t="shared" si="29"/>
        <v>0</v>
      </c>
      <c r="D109" s="112">
        <v>0</v>
      </c>
      <c r="E109" s="112">
        <v>0</v>
      </c>
      <c r="F109" s="112">
        <v>0</v>
      </c>
      <c r="G109" s="28">
        <v>0</v>
      </c>
      <c r="H109" s="28">
        <f t="shared" si="24"/>
        <v>0</v>
      </c>
      <c r="I109" s="112">
        <v>0</v>
      </c>
      <c r="J109" s="112">
        <v>0</v>
      </c>
      <c r="K109" s="112">
        <v>0</v>
      </c>
      <c r="L109" s="348"/>
      <c r="M109" s="348"/>
      <c r="N109" s="315"/>
      <c r="O109" s="315"/>
    </row>
    <row r="110" spans="1:15" ht="62.25" customHeight="1">
      <c r="A110" s="364" t="s">
        <v>59</v>
      </c>
      <c r="B110" s="365"/>
      <c r="C110" s="152"/>
      <c r="D110" s="152"/>
      <c r="E110" s="152"/>
      <c r="F110" s="152"/>
      <c r="G110" s="152"/>
      <c r="H110" s="28"/>
      <c r="I110" s="152"/>
      <c r="J110" s="152"/>
      <c r="K110" s="152"/>
      <c r="L110" s="350" t="s">
        <v>229</v>
      </c>
      <c r="M110" s="414"/>
      <c r="N110" s="347"/>
      <c r="O110" s="347"/>
    </row>
    <row r="111" spans="1:15" ht="15" customHeight="1">
      <c r="A111" s="349" t="s">
        <v>52</v>
      </c>
      <c r="B111" s="349"/>
      <c r="C111" s="110">
        <f aca="true" t="shared" si="34" ref="C111:C167">D111+E111+F111+G111+I111+J111+K111</f>
        <v>772.2</v>
      </c>
      <c r="D111" s="112">
        <f aca="true" t="shared" si="35" ref="D111:K111">D112+D113+D114+D115+D116</f>
        <v>0</v>
      </c>
      <c r="E111" s="112">
        <f t="shared" si="35"/>
        <v>0</v>
      </c>
      <c r="F111" s="112">
        <f t="shared" si="35"/>
        <v>100</v>
      </c>
      <c r="G111" s="28">
        <f t="shared" si="35"/>
        <v>0</v>
      </c>
      <c r="H111" s="28">
        <f t="shared" si="24"/>
        <v>672.2</v>
      </c>
      <c r="I111" s="112">
        <f t="shared" si="35"/>
        <v>672.2</v>
      </c>
      <c r="J111" s="112">
        <f t="shared" si="35"/>
        <v>0</v>
      </c>
      <c r="K111" s="112">
        <f t="shared" si="35"/>
        <v>0</v>
      </c>
      <c r="L111" s="350"/>
      <c r="M111" s="414"/>
      <c r="N111" s="347"/>
      <c r="O111" s="347"/>
    </row>
    <row r="112" spans="1:15" ht="15" customHeight="1">
      <c r="A112" s="349" t="s">
        <v>45</v>
      </c>
      <c r="B112" s="349"/>
      <c r="C112" s="110">
        <f t="shared" si="34"/>
        <v>0</v>
      </c>
      <c r="D112" s="112">
        <v>0</v>
      </c>
      <c r="E112" s="112">
        <v>0</v>
      </c>
      <c r="F112" s="112">
        <v>0</v>
      </c>
      <c r="G112" s="28">
        <v>0</v>
      </c>
      <c r="H112" s="28">
        <f t="shared" si="24"/>
        <v>0</v>
      </c>
      <c r="I112" s="112">
        <v>0</v>
      </c>
      <c r="J112" s="112">
        <v>0</v>
      </c>
      <c r="K112" s="112">
        <v>0</v>
      </c>
      <c r="L112" s="350"/>
      <c r="M112" s="414"/>
      <c r="N112" s="347"/>
      <c r="O112" s="347"/>
    </row>
    <row r="113" spans="1:15" ht="15" customHeight="1">
      <c r="A113" s="349" t="s">
        <v>46</v>
      </c>
      <c r="B113" s="349"/>
      <c r="C113" s="110">
        <f t="shared" si="34"/>
        <v>767.2</v>
      </c>
      <c r="D113" s="112">
        <v>0</v>
      </c>
      <c r="E113" s="112">
        <v>0</v>
      </c>
      <c r="F113" s="112">
        <v>95</v>
      </c>
      <c r="G113" s="28">
        <v>0</v>
      </c>
      <c r="H113" s="28">
        <f t="shared" si="24"/>
        <v>672.2</v>
      </c>
      <c r="I113" s="112">
        <v>672.2</v>
      </c>
      <c r="J113" s="112">
        <v>0</v>
      </c>
      <c r="K113" s="112">
        <v>0</v>
      </c>
      <c r="L113" s="350"/>
      <c r="M113" s="414"/>
      <c r="N113" s="347"/>
      <c r="O113" s="347"/>
    </row>
    <row r="114" spans="1:15" ht="15" customHeight="1">
      <c r="A114" s="349" t="s">
        <v>47</v>
      </c>
      <c r="B114" s="349"/>
      <c r="C114" s="110">
        <f t="shared" si="34"/>
        <v>5</v>
      </c>
      <c r="D114" s="112">
        <v>0</v>
      </c>
      <c r="E114" s="112">
        <v>0</v>
      </c>
      <c r="F114" s="28">
        <v>5</v>
      </c>
      <c r="G114" s="28">
        <v>0</v>
      </c>
      <c r="H114" s="28">
        <f t="shared" si="24"/>
        <v>0</v>
      </c>
      <c r="I114" s="112">
        <v>0</v>
      </c>
      <c r="J114" s="112">
        <v>0</v>
      </c>
      <c r="K114" s="112">
        <v>0</v>
      </c>
      <c r="L114" s="350"/>
      <c r="M114" s="414"/>
      <c r="N114" s="347"/>
      <c r="O114" s="347"/>
    </row>
    <row r="115" spans="1:15" ht="15" customHeight="1">
      <c r="A115" s="349" t="s">
        <v>48</v>
      </c>
      <c r="B115" s="349"/>
      <c r="C115" s="110">
        <f t="shared" si="34"/>
        <v>0</v>
      </c>
      <c r="D115" s="112">
        <v>0</v>
      </c>
      <c r="E115" s="112">
        <v>0</v>
      </c>
      <c r="F115" s="112">
        <v>0</v>
      </c>
      <c r="G115" s="28">
        <v>0</v>
      </c>
      <c r="H115" s="28">
        <f t="shared" si="24"/>
        <v>0</v>
      </c>
      <c r="I115" s="112">
        <v>0</v>
      </c>
      <c r="J115" s="112">
        <v>0</v>
      </c>
      <c r="K115" s="112">
        <v>0</v>
      </c>
      <c r="L115" s="350"/>
      <c r="M115" s="414"/>
      <c r="N115" s="347"/>
      <c r="O115" s="347"/>
    </row>
    <row r="116" spans="1:15" ht="15" customHeight="1">
      <c r="A116" s="349" t="s">
        <v>49</v>
      </c>
      <c r="B116" s="349"/>
      <c r="C116" s="110">
        <f t="shared" si="34"/>
        <v>0</v>
      </c>
      <c r="D116" s="112">
        <v>0</v>
      </c>
      <c r="E116" s="112">
        <v>0</v>
      </c>
      <c r="F116" s="112">
        <v>0</v>
      </c>
      <c r="G116" s="28">
        <v>0</v>
      </c>
      <c r="H116" s="28">
        <f t="shared" si="24"/>
        <v>0</v>
      </c>
      <c r="I116" s="112">
        <v>0</v>
      </c>
      <c r="J116" s="112">
        <v>0</v>
      </c>
      <c r="K116" s="112">
        <v>0</v>
      </c>
      <c r="L116" s="350"/>
      <c r="M116" s="414"/>
      <c r="N116" s="347"/>
      <c r="O116" s="347"/>
    </row>
    <row r="117" spans="1:15" ht="44.25" customHeight="1">
      <c r="A117" s="418" t="s">
        <v>61</v>
      </c>
      <c r="B117" s="419"/>
      <c r="C117" s="155"/>
      <c r="D117" s="155"/>
      <c r="E117" s="155"/>
      <c r="F117" s="155"/>
      <c r="G117" s="155"/>
      <c r="H117" s="28"/>
      <c r="I117" s="155"/>
      <c r="J117" s="155"/>
      <c r="K117" s="155"/>
      <c r="L117" s="348"/>
      <c r="M117" s="348"/>
      <c r="N117" s="345"/>
      <c r="O117" s="345"/>
    </row>
    <row r="118" spans="1:15" ht="15" customHeight="1">
      <c r="A118" s="420" t="s">
        <v>52</v>
      </c>
      <c r="B118" s="420"/>
      <c r="C118" s="110">
        <f t="shared" si="34"/>
        <v>5788092.974119999</v>
      </c>
      <c r="D118" s="114">
        <f aca="true" t="shared" si="36" ref="D118:K118">D120+D151+D152+D153+D119</f>
        <v>711509.63934</v>
      </c>
      <c r="E118" s="114">
        <f t="shared" si="36"/>
        <v>700701.3494799999</v>
      </c>
      <c r="F118" s="114">
        <f t="shared" si="36"/>
        <v>831217.9002500001</v>
      </c>
      <c r="G118" s="28">
        <f t="shared" si="36"/>
        <v>980947.08505</v>
      </c>
      <c r="H118" s="28">
        <f t="shared" si="24"/>
        <v>2563717</v>
      </c>
      <c r="I118" s="112">
        <f t="shared" si="36"/>
        <v>980289.7700000001</v>
      </c>
      <c r="J118" s="112">
        <f t="shared" si="36"/>
        <v>789323.43</v>
      </c>
      <c r="K118" s="112">
        <f t="shared" si="36"/>
        <v>794103.8</v>
      </c>
      <c r="L118" s="348"/>
      <c r="M118" s="348"/>
      <c r="N118" s="345"/>
      <c r="O118" s="345"/>
    </row>
    <row r="119" spans="1:15" ht="15" customHeight="1">
      <c r="A119" s="355" t="s">
        <v>45</v>
      </c>
      <c r="B119" s="355"/>
      <c r="C119" s="110">
        <f t="shared" si="34"/>
        <v>116853.446</v>
      </c>
      <c r="D119" s="112">
        <f aca="true" t="shared" si="37" ref="D119:G120">D156+D221+D271</f>
        <v>15892.484</v>
      </c>
      <c r="E119" s="112">
        <f t="shared" si="37"/>
        <v>7115.062</v>
      </c>
      <c r="F119" s="112">
        <f t="shared" si="37"/>
        <v>6508.5</v>
      </c>
      <c r="G119" s="28">
        <f t="shared" si="37"/>
        <v>37810</v>
      </c>
      <c r="H119" s="28">
        <f t="shared" si="24"/>
        <v>49527.4</v>
      </c>
      <c r="I119" s="112">
        <f aca="true" t="shared" si="38" ref="I119:K120">I156+I221+I271+I314</f>
        <v>49527.4</v>
      </c>
      <c r="J119" s="112">
        <f t="shared" si="38"/>
        <v>0</v>
      </c>
      <c r="K119" s="112">
        <f t="shared" si="38"/>
        <v>0</v>
      </c>
      <c r="L119" s="348"/>
      <c r="M119" s="348"/>
      <c r="N119" s="345"/>
      <c r="O119" s="345"/>
    </row>
    <row r="120" spans="1:15" ht="15" customHeight="1">
      <c r="A120" s="355" t="s">
        <v>46</v>
      </c>
      <c r="B120" s="355"/>
      <c r="C120" s="110">
        <f t="shared" si="34"/>
        <v>5670421.842119999</v>
      </c>
      <c r="D120" s="112">
        <f t="shared" si="37"/>
        <v>695090.2163399999</v>
      </c>
      <c r="E120" s="112">
        <f t="shared" si="37"/>
        <v>693420.5404799999</v>
      </c>
      <c r="F120" s="112">
        <f t="shared" si="37"/>
        <v>824584.4002500001</v>
      </c>
      <c r="G120" s="28">
        <f t="shared" si="37"/>
        <v>943137.08505</v>
      </c>
      <c r="H120" s="28">
        <f t="shared" si="24"/>
        <v>2514189.6000000006</v>
      </c>
      <c r="I120" s="112">
        <f t="shared" si="38"/>
        <v>930762.3700000001</v>
      </c>
      <c r="J120" s="112">
        <f t="shared" si="38"/>
        <v>789323.43</v>
      </c>
      <c r="K120" s="112">
        <f t="shared" si="38"/>
        <v>794103.8</v>
      </c>
      <c r="L120" s="348"/>
      <c r="M120" s="348"/>
      <c r="N120" s="345"/>
      <c r="O120" s="345"/>
    </row>
    <row r="121" spans="1:15" ht="15" customHeight="1" hidden="1">
      <c r="A121" s="133"/>
      <c r="B121" s="133"/>
      <c r="C121" s="110" t="e">
        <f t="shared" si="34"/>
        <v>#REF!</v>
      </c>
      <c r="D121" s="112" t="e">
        <f>#REF!</f>
        <v>#REF!</v>
      </c>
      <c r="E121" s="112" t="e">
        <f>#REF!</f>
        <v>#REF!</v>
      </c>
      <c r="F121" s="112" t="e">
        <f>#REF!</f>
        <v>#REF!</v>
      </c>
      <c r="G121" s="28"/>
      <c r="H121" s="28">
        <f t="shared" si="24"/>
        <v>0</v>
      </c>
      <c r="I121" s="112"/>
      <c r="J121" s="112"/>
      <c r="K121" s="112"/>
      <c r="L121" s="348"/>
      <c r="M121" s="348"/>
      <c r="N121" s="345"/>
      <c r="O121" s="345"/>
    </row>
    <row r="122" spans="1:15" ht="15" customHeight="1" hidden="1">
      <c r="A122" s="133"/>
      <c r="B122" s="133"/>
      <c r="C122" s="110" t="e">
        <f t="shared" si="34"/>
        <v>#REF!</v>
      </c>
      <c r="D122" s="112" t="e">
        <f>#REF!</f>
        <v>#REF!</v>
      </c>
      <c r="E122" s="112" t="e">
        <f>#REF!</f>
        <v>#REF!</v>
      </c>
      <c r="F122" s="112" t="e">
        <f>#REF!</f>
        <v>#REF!</v>
      </c>
      <c r="G122" s="28"/>
      <c r="H122" s="28">
        <f t="shared" si="24"/>
        <v>0</v>
      </c>
      <c r="I122" s="112"/>
      <c r="J122" s="112"/>
      <c r="K122" s="112"/>
      <c r="L122" s="348"/>
      <c r="M122" s="348"/>
      <c r="N122" s="345"/>
      <c r="O122" s="345"/>
    </row>
    <row r="123" spans="1:15" ht="15" customHeight="1" hidden="1">
      <c r="A123" s="133"/>
      <c r="B123" s="133"/>
      <c r="C123" s="110" t="e">
        <f t="shared" si="34"/>
        <v>#REF!</v>
      </c>
      <c r="D123" s="112" t="e">
        <f>#REF!</f>
        <v>#REF!</v>
      </c>
      <c r="E123" s="112" t="e">
        <f>#REF!</f>
        <v>#REF!</v>
      </c>
      <c r="F123" s="112" t="e">
        <f>#REF!</f>
        <v>#REF!</v>
      </c>
      <c r="G123" s="28"/>
      <c r="H123" s="28">
        <f t="shared" si="24"/>
        <v>0</v>
      </c>
      <c r="I123" s="112"/>
      <c r="J123" s="112"/>
      <c r="K123" s="112"/>
      <c r="L123" s="348"/>
      <c r="M123" s="348"/>
      <c r="N123" s="345"/>
      <c r="O123" s="345"/>
    </row>
    <row r="124" spans="1:15" ht="15" customHeight="1" hidden="1">
      <c r="A124" s="133"/>
      <c r="B124" s="133"/>
      <c r="C124" s="110" t="e">
        <f t="shared" si="34"/>
        <v>#REF!</v>
      </c>
      <c r="D124" s="112" t="e">
        <f>#REF!</f>
        <v>#REF!</v>
      </c>
      <c r="E124" s="112" t="e">
        <f>#REF!</f>
        <v>#REF!</v>
      </c>
      <c r="F124" s="112" t="e">
        <f>#REF!</f>
        <v>#REF!</v>
      </c>
      <c r="G124" s="28"/>
      <c r="H124" s="28">
        <f t="shared" si="24"/>
        <v>0</v>
      </c>
      <c r="I124" s="112"/>
      <c r="J124" s="112"/>
      <c r="K124" s="112"/>
      <c r="L124" s="348"/>
      <c r="M124" s="348"/>
      <c r="N124" s="345"/>
      <c r="O124" s="345"/>
    </row>
    <row r="125" spans="1:15" ht="15" customHeight="1" hidden="1">
      <c r="A125" s="133"/>
      <c r="B125" s="133"/>
      <c r="C125" s="110" t="e">
        <f t="shared" si="34"/>
        <v>#REF!</v>
      </c>
      <c r="D125" s="112" t="e">
        <f>#REF!</f>
        <v>#REF!</v>
      </c>
      <c r="E125" s="112" t="e">
        <f>#REF!</f>
        <v>#REF!</v>
      </c>
      <c r="F125" s="112" t="e">
        <f>#REF!</f>
        <v>#REF!</v>
      </c>
      <c r="G125" s="28"/>
      <c r="H125" s="28">
        <f t="shared" si="24"/>
        <v>0</v>
      </c>
      <c r="I125" s="112"/>
      <c r="J125" s="112"/>
      <c r="K125" s="112"/>
      <c r="L125" s="348"/>
      <c r="M125" s="348"/>
      <c r="N125" s="345"/>
      <c r="O125" s="345"/>
    </row>
    <row r="126" spans="1:15" ht="15" customHeight="1" hidden="1">
      <c r="A126" s="133"/>
      <c r="B126" s="133"/>
      <c r="C126" s="110" t="e">
        <f t="shared" si="34"/>
        <v>#REF!</v>
      </c>
      <c r="D126" s="112" t="e">
        <f>#REF!</f>
        <v>#REF!</v>
      </c>
      <c r="E126" s="112" t="e">
        <f>#REF!</f>
        <v>#REF!</v>
      </c>
      <c r="F126" s="112" t="e">
        <f>#REF!</f>
        <v>#REF!</v>
      </c>
      <c r="G126" s="28"/>
      <c r="H126" s="28">
        <f t="shared" si="24"/>
        <v>0</v>
      </c>
      <c r="I126" s="112"/>
      <c r="J126" s="112"/>
      <c r="K126" s="112"/>
      <c r="L126" s="348"/>
      <c r="M126" s="348"/>
      <c r="N126" s="345"/>
      <c r="O126" s="345"/>
    </row>
    <row r="127" spans="1:15" ht="15" customHeight="1" hidden="1">
      <c r="A127" s="133"/>
      <c r="B127" s="133"/>
      <c r="C127" s="110">
        <f t="shared" si="34"/>
        <v>21558.89457</v>
      </c>
      <c r="D127" s="112">
        <f>D194</f>
        <v>13953.3</v>
      </c>
      <c r="E127" s="112">
        <f>E194</f>
        <v>5408.21225</v>
      </c>
      <c r="F127" s="112">
        <f>F194</f>
        <v>2197.3823200000006</v>
      </c>
      <c r="G127" s="28"/>
      <c r="H127" s="28">
        <f t="shared" si="24"/>
        <v>0</v>
      </c>
      <c r="I127" s="112"/>
      <c r="J127" s="112"/>
      <c r="K127" s="112"/>
      <c r="L127" s="348"/>
      <c r="M127" s="348"/>
      <c r="N127" s="345"/>
      <c r="O127" s="345"/>
    </row>
    <row r="128" spans="1:15" ht="15" customHeight="1" hidden="1">
      <c r="A128" s="133"/>
      <c r="B128" s="133"/>
      <c r="C128" s="110" t="e">
        <f t="shared" si="34"/>
        <v>#REF!</v>
      </c>
      <c r="D128" s="112" t="e">
        <f>#REF!</f>
        <v>#REF!</v>
      </c>
      <c r="E128" s="112" t="e">
        <f>#REF!</f>
        <v>#REF!</v>
      </c>
      <c r="F128" s="112" t="e">
        <f>#REF!</f>
        <v>#REF!</v>
      </c>
      <c r="G128" s="28"/>
      <c r="H128" s="28">
        <f t="shared" si="24"/>
        <v>0</v>
      </c>
      <c r="I128" s="112"/>
      <c r="J128" s="112"/>
      <c r="K128" s="112"/>
      <c r="L128" s="348"/>
      <c r="M128" s="348"/>
      <c r="N128" s="345"/>
      <c r="O128" s="345"/>
    </row>
    <row r="129" spans="1:15" ht="15" customHeight="1" hidden="1">
      <c r="A129" s="133"/>
      <c r="B129" s="133"/>
      <c r="C129" s="110">
        <f t="shared" si="34"/>
        <v>644.3</v>
      </c>
      <c r="D129" s="112">
        <f>D208</f>
        <v>141.4</v>
      </c>
      <c r="E129" s="112">
        <f>E208</f>
        <v>502.9</v>
      </c>
      <c r="F129" s="112">
        <f>F208</f>
        <v>0</v>
      </c>
      <c r="G129" s="28"/>
      <c r="H129" s="28">
        <f t="shared" si="24"/>
        <v>0</v>
      </c>
      <c r="I129" s="112"/>
      <c r="J129" s="112"/>
      <c r="K129" s="112"/>
      <c r="L129" s="348"/>
      <c r="M129" s="348"/>
      <c r="N129" s="345"/>
      <c r="O129" s="345"/>
    </row>
    <row r="130" spans="1:15" ht="15" customHeight="1" hidden="1">
      <c r="A130" s="133"/>
      <c r="B130" s="133"/>
      <c r="C130" s="110" t="e">
        <f t="shared" si="34"/>
        <v>#REF!</v>
      </c>
      <c r="D130" s="112" t="e">
        <f>#REF!</f>
        <v>#REF!</v>
      </c>
      <c r="E130" s="112" t="e">
        <f>#REF!</f>
        <v>#REF!</v>
      </c>
      <c r="F130" s="112" t="e">
        <f>#REF!</f>
        <v>#REF!</v>
      </c>
      <c r="G130" s="28"/>
      <c r="H130" s="28">
        <f t="shared" si="24"/>
        <v>0</v>
      </c>
      <c r="I130" s="112"/>
      <c r="J130" s="112"/>
      <c r="K130" s="112"/>
      <c r="L130" s="348"/>
      <c r="M130" s="348"/>
      <c r="N130" s="345"/>
      <c r="O130" s="345"/>
    </row>
    <row r="131" spans="1:15" ht="15" customHeight="1" hidden="1">
      <c r="A131" s="133"/>
      <c r="B131" s="133"/>
      <c r="C131" s="110" t="e">
        <f t="shared" si="34"/>
        <v>#REF!</v>
      </c>
      <c r="D131" s="112" t="e">
        <f>#REF!</f>
        <v>#REF!</v>
      </c>
      <c r="E131" s="112" t="e">
        <f>#REF!</f>
        <v>#REF!</v>
      </c>
      <c r="F131" s="112" t="e">
        <f>#REF!</f>
        <v>#REF!</v>
      </c>
      <c r="G131" s="28"/>
      <c r="H131" s="28">
        <f t="shared" si="24"/>
        <v>0</v>
      </c>
      <c r="I131" s="112"/>
      <c r="J131" s="112"/>
      <c r="K131" s="112"/>
      <c r="L131" s="348"/>
      <c r="M131" s="348"/>
      <c r="N131" s="345"/>
      <c r="O131" s="345"/>
    </row>
    <row r="132" spans="1:15" ht="15" customHeight="1" hidden="1">
      <c r="A132" s="133"/>
      <c r="B132" s="133"/>
      <c r="C132" s="110" t="e">
        <f t="shared" si="34"/>
        <v>#REF!</v>
      </c>
      <c r="D132" s="112" t="e">
        <f>#REF!</f>
        <v>#REF!</v>
      </c>
      <c r="E132" s="112" t="e">
        <f>#REF!</f>
        <v>#REF!</v>
      </c>
      <c r="F132" s="112" t="e">
        <f>#REF!</f>
        <v>#REF!</v>
      </c>
      <c r="G132" s="28"/>
      <c r="H132" s="28">
        <f t="shared" si="24"/>
        <v>0</v>
      </c>
      <c r="I132" s="112"/>
      <c r="J132" s="112"/>
      <c r="K132" s="112"/>
      <c r="L132" s="348"/>
      <c r="M132" s="348"/>
      <c r="N132" s="345"/>
      <c r="O132" s="345"/>
    </row>
    <row r="133" spans="1:15" ht="15" customHeight="1" hidden="1">
      <c r="A133" s="133"/>
      <c r="B133" s="133"/>
      <c r="C133" s="110" t="e">
        <f t="shared" si="34"/>
        <v>#REF!</v>
      </c>
      <c r="D133" s="112" t="e">
        <f>#REF!</f>
        <v>#REF!</v>
      </c>
      <c r="E133" s="112" t="e">
        <f>#REF!</f>
        <v>#REF!</v>
      </c>
      <c r="F133" s="112" t="e">
        <f>#REF!</f>
        <v>#REF!</v>
      </c>
      <c r="G133" s="28"/>
      <c r="H133" s="28">
        <f t="shared" si="24"/>
        <v>0</v>
      </c>
      <c r="I133" s="112"/>
      <c r="J133" s="112"/>
      <c r="K133" s="112"/>
      <c r="L133" s="348"/>
      <c r="M133" s="348"/>
      <c r="N133" s="345"/>
      <c r="O133" s="345"/>
    </row>
    <row r="134" spans="1:15" ht="15" customHeight="1" hidden="1">
      <c r="A134" s="133"/>
      <c r="B134" s="133"/>
      <c r="C134" s="110" t="e">
        <f t="shared" si="34"/>
        <v>#REF!</v>
      </c>
      <c r="D134" s="112" t="e">
        <f>#REF!</f>
        <v>#REF!</v>
      </c>
      <c r="E134" s="112" t="e">
        <f>#REF!</f>
        <v>#REF!</v>
      </c>
      <c r="F134" s="112" t="e">
        <f>#REF!</f>
        <v>#REF!</v>
      </c>
      <c r="G134" s="28"/>
      <c r="H134" s="28">
        <f t="shared" si="24"/>
        <v>0</v>
      </c>
      <c r="I134" s="112"/>
      <c r="J134" s="112"/>
      <c r="K134" s="112"/>
      <c r="L134" s="348"/>
      <c r="M134" s="348"/>
      <c r="N134" s="345"/>
      <c r="O134" s="345"/>
    </row>
    <row r="135" spans="1:15" ht="15" customHeight="1" hidden="1">
      <c r="A135" s="133"/>
      <c r="B135" s="133"/>
      <c r="C135" s="110" t="e">
        <f t="shared" si="34"/>
        <v>#REF!</v>
      </c>
      <c r="D135" s="112" t="e">
        <f>#REF!</f>
        <v>#REF!</v>
      </c>
      <c r="E135" s="112" t="e">
        <f>#REF!</f>
        <v>#REF!</v>
      </c>
      <c r="F135" s="112" t="e">
        <f>#REF!</f>
        <v>#REF!</v>
      </c>
      <c r="G135" s="28"/>
      <c r="H135" s="28">
        <f t="shared" si="24"/>
        <v>0</v>
      </c>
      <c r="I135" s="112"/>
      <c r="J135" s="112"/>
      <c r="K135" s="112"/>
      <c r="L135" s="348"/>
      <c r="M135" s="348"/>
      <c r="N135" s="345"/>
      <c r="O135" s="345"/>
    </row>
    <row r="136" spans="1:15" ht="15" customHeight="1" hidden="1">
      <c r="A136" s="133"/>
      <c r="B136" s="133"/>
      <c r="C136" s="110">
        <f t="shared" si="34"/>
        <v>161871.11129999987</v>
      </c>
      <c r="D136" s="112">
        <f>D243</f>
        <v>46248.84</v>
      </c>
      <c r="E136" s="112">
        <f>E243</f>
        <v>24322.8712999999</v>
      </c>
      <c r="F136" s="112">
        <f>F243</f>
        <v>91299.4</v>
      </c>
      <c r="G136" s="28"/>
      <c r="H136" s="28">
        <f t="shared" si="24"/>
        <v>0</v>
      </c>
      <c r="I136" s="112"/>
      <c r="J136" s="112"/>
      <c r="K136" s="112"/>
      <c r="L136" s="348"/>
      <c r="M136" s="348"/>
      <c r="N136" s="345"/>
      <c r="O136" s="345"/>
    </row>
    <row r="137" spans="1:15" ht="15" customHeight="1" hidden="1">
      <c r="A137" s="133"/>
      <c r="B137" s="133"/>
      <c r="C137" s="110" t="e">
        <f t="shared" si="34"/>
        <v>#REF!</v>
      </c>
      <c r="D137" s="112" t="e">
        <f>#REF!</f>
        <v>#REF!</v>
      </c>
      <c r="E137" s="112" t="e">
        <f>#REF!</f>
        <v>#REF!</v>
      </c>
      <c r="F137" s="112" t="e">
        <f>#REF!</f>
        <v>#REF!</v>
      </c>
      <c r="G137" s="28"/>
      <c r="H137" s="28">
        <f t="shared" si="24"/>
        <v>0</v>
      </c>
      <c r="I137" s="112"/>
      <c r="J137" s="112"/>
      <c r="K137" s="112"/>
      <c r="L137" s="348"/>
      <c r="M137" s="348"/>
      <c r="N137" s="345"/>
      <c r="O137" s="345"/>
    </row>
    <row r="138" spans="1:15" ht="15" customHeight="1" hidden="1">
      <c r="A138" s="133"/>
      <c r="B138" s="133"/>
      <c r="C138" s="110">
        <f t="shared" si="34"/>
        <v>1949</v>
      </c>
      <c r="D138" s="112">
        <f>D286</f>
        <v>1060</v>
      </c>
      <c r="E138" s="112">
        <f>E286</f>
        <v>439</v>
      </c>
      <c r="F138" s="112">
        <f>F286</f>
        <v>450</v>
      </c>
      <c r="G138" s="28"/>
      <c r="H138" s="28">
        <f t="shared" si="24"/>
        <v>0</v>
      </c>
      <c r="I138" s="112"/>
      <c r="J138" s="112"/>
      <c r="K138" s="112"/>
      <c r="L138" s="348"/>
      <c r="M138" s="348"/>
      <c r="N138" s="345"/>
      <c r="O138" s="345"/>
    </row>
    <row r="139" spans="1:15" ht="15" customHeight="1" hidden="1">
      <c r="A139" s="133"/>
      <c r="B139" s="133"/>
      <c r="C139" s="110" t="e">
        <f t="shared" si="34"/>
        <v>#REF!</v>
      </c>
      <c r="D139" s="112" t="e">
        <f>#REF!</f>
        <v>#REF!</v>
      </c>
      <c r="E139" s="112">
        <f>E293</f>
        <v>0</v>
      </c>
      <c r="F139" s="112">
        <f>F293</f>
        <v>100</v>
      </c>
      <c r="G139" s="28"/>
      <c r="H139" s="28">
        <f t="shared" si="24"/>
        <v>0</v>
      </c>
      <c r="I139" s="112"/>
      <c r="J139" s="112"/>
      <c r="K139" s="112"/>
      <c r="L139" s="348"/>
      <c r="M139" s="348"/>
      <c r="N139" s="345"/>
      <c r="O139" s="345"/>
    </row>
    <row r="140" spans="1:15" ht="15" customHeight="1" hidden="1">
      <c r="A140" s="133"/>
      <c r="B140" s="133"/>
      <c r="C140" s="110" t="e">
        <f t="shared" si="34"/>
        <v>#REF!</v>
      </c>
      <c r="D140" s="112" t="e">
        <f>#REF!</f>
        <v>#REF!</v>
      </c>
      <c r="E140" s="112">
        <f>E300</f>
        <v>0</v>
      </c>
      <c r="F140" s="112">
        <f>F300</f>
        <v>0</v>
      </c>
      <c r="G140" s="28"/>
      <c r="H140" s="28">
        <f t="shared" si="24"/>
        <v>0</v>
      </c>
      <c r="I140" s="112"/>
      <c r="J140" s="112"/>
      <c r="K140" s="112"/>
      <c r="L140" s="348"/>
      <c r="M140" s="348"/>
      <c r="N140" s="345"/>
      <c r="O140" s="345"/>
    </row>
    <row r="141" spans="1:15" ht="15" customHeight="1" hidden="1">
      <c r="A141" s="133"/>
      <c r="B141" s="133"/>
      <c r="C141" s="110">
        <f t="shared" si="34"/>
        <v>0</v>
      </c>
      <c r="D141" s="112"/>
      <c r="E141" s="112"/>
      <c r="F141" s="112"/>
      <c r="G141" s="28"/>
      <c r="H141" s="28">
        <f t="shared" si="24"/>
        <v>0</v>
      </c>
      <c r="I141" s="112"/>
      <c r="J141" s="112"/>
      <c r="K141" s="112"/>
      <c r="L141" s="348"/>
      <c r="M141" s="348"/>
      <c r="N141" s="345"/>
      <c r="O141" s="345"/>
    </row>
    <row r="142" spans="1:15" ht="15" customHeight="1" hidden="1">
      <c r="A142" s="133"/>
      <c r="B142" s="133"/>
      <c r="C142" s="110">
        <f t="shared" si="34"/>
        <v>21558.89457</v>
      </c>
      <c r="D142" s="112">
        <f>D127</f>
        <v>13953.3</v>
      </c>
      <c r="E142" s="112">
        <f>E127</f>
        <v>5408.21225</v>
      </c>
      <c r="F142" s="112">
        <f>F127</f>
        <v>2197.3823200000006</v>
      </c>
      <c r="G142" s="28"/>
      <c r="H142" s="28">
        <f t="shared" si="24"/>
        <v>0</v>
      </c>
      <c r="I142" s="112"/>
      <c r="J142" s="112"/>
      <c r="K142" s="112"/>
      <c r="L142" s="348"/>
      <c r="M142" s="348"/>
      <c r="N142" s="345"/>
      <c r="O142" s="345"/>
    </row>
    <row r="143" spans="1:15" ht="15" customHeight="1" hidden="1">
      <c r="A143" s="133"/>
      <c r="B143" s="133"/>
      <c r="C143" s="110" t="e">
        <f t="shared" si="34"/>
        <v>#REF!</v>
      </c>
      <c r="D143" s="112" t="e">
        <f>D130</f>
        <v>#REF!</v>
      </c>
      <c r="E143" s="112" t="e">
        <f>E130</f>
        <v>#REF!</v>
      </c>
      <c r="F143" s="112" t="e">
        <f>F130</f>
        <v>#REF!</v>
      </c>
      <c r="G143" s="28"/>
      <c r="H143" s="28">
        <f aca="true" t="shared" si="39" ref="H143:H206">I143+J143+K143</f>
        <v>0</v>
      </c>
      <c r="I143" s="112"/>
      <c r="J143" s="112"/>
      <c r="K143" s="112"/>
      <c r="L143" s="348"/>
      <c r="M143" s="348"/>
      <c r="N143" s="345"/>
      <c r="O143" s="345"/>
    </row>
    <row r="144" spans="1:15" ht="15" customHeight="1" hidden="1">
      <c r="A144" s="133"/>
      <c r="B144" s="133"/>
      <c r="C144" s="110" t="e">
        <f t="shared" si="34"/>
        <v>#REF!</v>
      </c>
      <c r="D144" s="112" t="e">
        <f>D124+D122</f>
        <v>#REF!</v>
      </c>
      <c r="E144" s="112" t="e">
        <f>E124+E122</f>
        <v>#REF!</v>
      </c>
      <c r="F144" s="112" t="e">
        <f>F124+F122</f>
        <v>#REF!</v>
      </c>
      <c r="G144" s="28"/>
      <c r="H144" s="28">
        <f t="shared" si="39"/>
        <v>0</v>
      </c>
      <c r="I144" s="112"/>
      <c r="J144" s="112"/>
      <c r="K144" s="112"/>
      <c r="L144" s="348"/>
      <c r="M144" s="348"/>
      <c r="N144" s="345"/>
      <c r="O144" s="345"/>
    </row>
    <row r="145" spans="1:15" ht="15" customHeight="1" hidden="1">
      <c r="A145" s="133"/>
      <c r="B145" s="133"/>
      <c r="C145" s="110" t="e">
        <f t="shared" si="34"/>
        <v>#REF!</v>
      </c>
      <c r="D145" s="112" t="e">
        <f>D131</f>
        <v>#REF!</v>
      </c>
      <c r="E145" s="112" t="e">
        <f>E131</f>
        <v>#REF!</v>
      </c>
      <c r="F145" s="112" t="e">
        <f>F131</f>
        <v>#REF!</v>
      </c>
      <c r="G145" s="28"/>
      <c r="H145" s="28">
        <f t="shared" si="39"/>
        <v>0</v>
      </c>
      <c r="I145" s="112"/>
      <c r="J145" s="112"/>
      <c r="K145" s="112"/>
      <c r="L145" s="348"/>
      <c r="M145" s="348"/>
      <c r="N145" s="345"/>
      <c r="O145" s="345"/>
    </row>
    <row r="146" spans="1:15" ht="15" customHeight="1" hidden="1">
      <c r="A146" s="133"/>
      <c r="B146" s="133"/>
      <c r="C146" s="110" t="e">
        <f t="shared" si="34"/>
        <v>#REF!</v>
      </c>
      <c r="D146" s="112" t="e">
        <f aca="true" t="shared" si="40" ref="D146:K146">D123+D126</f>
        <v>#REF!</v>
      </c>
      <c r="E146" s="112" t="e">
        <f t="shared" si="40"/>
        <v>#REF!</v>
      </c>
      <c r="F146" s="112" t="e">
        <f t="shared" si="40"/>
        <v>#REF!</v>
      </c>
      <c r="G146" s="28">
        <f t="shared" si="40"/>
        <v>0</v>
      </c>
      <c r="H146" s="28">
        <f t="shared" si="39"/>
        <v>0</v>
      </c>
      <c r="I146" s="112">
        <f t="shared" si="40"/>
        <v>0</v>
      </c>
      <c r="J146" s="112">
        <f t="shared" si="40"/>
        <v>0</v>
      </c>
      <c r="K146" s="112">
        <f t="shared" si="40"/>
        <v>0</v>
      </c>
      <c r="L146" s="348"/>
      <c r="M146" s="348"/>
      <c r="N146" s="345"/>
      <c r="O146" s="345"/>
    </row>
    <row r="147" spans="1:15" ht="15" customHeight="1" hidden="1">
      <c r="A147" s="133"/>
      <c r="B147" s="133"/>
      <c r="C147" s="110" t="e">
        <f t="shared" si="34"/>
        <v>#REF!</v>
      </c>
      <c r="D147" s="112" t="e">
        <f>D133+D134+D135+D136+D121</f>
        <v>#REF!</v>
      </c>
      <c r="E147" s="112" t="e">
        <f>E133+E134+E135+E136+E121</f>
        <v>#REF!</v>
      </c>
      <c r="F147" s="112" t="e">
        <f>F133+F134+F135+F136+F121</f>
        <v>#REF!</v>
      </c>
      <c r="G147" s="28">
        <f>G133+G134+G135+G136</f>
        <v>0</v>
      </c>
      <c r="H147" s="28">
        <f t="shared" si="39"/>
        <v>0</v>
      </c>
      <c r="I147" s="112">
        <f>I133+I134+I135+I136</f>
        <v>0</v>
      </c>
      <c r="J147" s="112">
        <f>J133+J134+J135+J136</f>
        <v>0</v>
      </c>
      <c r="K147" s="112">
        <f>K133+K134+K135+K136</f>
        <v>0</v>
      </c>
      <c r="L147" s="348"/>
      <c r="M147" s="348"/>
      <c r="N147" s="345"/>
      <c r="O147" s="345"/>
    </row>
    <row r="148" spans="1:15" ht="15" customHeight="1" hidden="1">
      <c r="A148" s="133"/>
      <c r="B148" s="133"/>
      <c r="C148" s="110" t="e">
        <f t="shared" si="34"/>
        <v>#REF!</v>
      </c>
      <c r="D148" s="112" t="e">
        <f>D132</f>
        <v>#REF!</v>
      </c>
      <c r="E148" s="112" t="e">
        <f>E132</f>
        <v>#REF!</v>
      </c>
      <c r="F148" s="112" t="e">
        <f>F132</f>
        <v>#REF!</v>
      </c>
      <c r="G148" s="28"/>
      <c r="H148" s="28">
        <f t="shared" si="39"/>
        <v>0</v>
      </c>
      <c r="I148" s="112"/>
      <c r="J148" s="112"/>
      <c r="K148" s="112"/>
      <c r="L148" s="348"/>
      <c r="M148" s="348"/>
      <c r="N148" s="345"/>
      <c r="O148" s="345"/>
    </row>
    <row r="149" spans="1:15" ht="15" customHeight="1" hidden="1">
      <c r="A149" s="133"/>
      <c r="B149" s="133"/>
      <c r="C149" s="110">
        <f t="shared" si="34"/>
        <v>644.3</v>
      </c>
      <c r="D149" s="112">
        <f>D129</f>
        <v>141.4</v>
      </c>
      <c r="E149" s="112">
        <f>E129</f>
        <v>502.9</v>
      </c>
      <c r="F149" s="112">
        <f>F129</f>
        <v>0</v>
      </c>
      <c r="G149" s="28"/>
      <c r="H149" s="28">
        <f t="shared" si="39"/>
        <v>0</v>
      </c>
      <c r="I149" s="112"/>
      <c r="J149" s="112"/>
      <c r="K149" s="112"/>
      <c r="L149" s="348"/>
      <c r="M149" s="348"/>
      <c r="N149" s="345"/>
      <c r="O149" s="345"/>
    </row>
    <row r="150" spans="1:15" ht="15" customHeight="1" hidden="1">
      <c r="A150" s="133"/>
      <c r="B150" s="133"/>
      <c r="C150" s="110" t="e">
        <f t="shared" si="34"/>
        <v>#REF!</v>
      </c>
      <c r="D150" s="112" t="e">
        <f>D125+D137+D138+D139+D140+D128</f>
        <v>#REF!</v>
      </c>
      <c r="E150" s="112" t="e">
        <f>E125+E137+E138+E139+E140+E128</f>
        <v>#REF!</v>
      </c>
      <c r="F150" s="112" t="e">
        <f>F125+F137+F138+F139+F140+F128</f>
        <v>#REF!</v>
      </c>
      <c r="G150" s="28"/>
      <c r="H150" s="28">
        <f t="shared" si="39"/>
        <v>0</v>
      </c>
      <c r="I150" s="112"/>
      <c r="J150" s="112"/>
      <c r="K150" s="112"/>
      <c r="L150" s="348"/>
      <c r="M150" s="348"/>
      <c r="N150" s="345"/>
      <c r="O150" s="345"/>
    </row>
    <row r="151" spans="1:15" ht="15" customHeight="1">
      <c r="A151" s="355" t="s">
        <v>47</v>
      </c>
      <c r="B151" s="355"/>
      <c r="C151" s="110">
        <f t="shared" si="34"/>
        <v>817.6859999999999</v>
      </c>
      <c r="D151" s="112">
        <f aca="true" t="shared" si="41" ref="D151:G153">D158+D223+D273</f>
        <v>526.939</v>
      </c>
      <c r="E151" s="112">
        <f t="shared" si="41"/>
        <v>165.747</v>
      </c>
      <c r="F151" s="112">
        <f t="shared" si="41"/>
        <v>125</v>
      </c>
      <c r="G151" s="28">
        <f t="shared" si="41"/>
        <v>0</v>
      </c>
      <c r="H151" s="28">
        <f t="shared" si="39"/>
        <v>0</v>
      </c>
      <c r="I151" s="112">
        <f aca="true" t="shared" si="42" ref="I151:K153">I158+I223+I273</f>
        <v>0</v>
      </c>
      <c r="J151" s="112">
        <f t="shared" si="42"/>
        <v>0</v>
      </c>
      <c r="K151" s="112">
        <f t="shared" si="42"/>
        <v>0</v>
      </c>
      <c r="L151" s="348"/>
      <c r="M151" s="348"/>
      <c r="N151" s="345"/>
      <c r="O151" s="345"/>
    </row>
    <row r="152" spans="1:15" ht="15" customHeight="1">
      <c r="A152" s="355" t="s">
        <v>48</v>
      </c>
      <c r="B152" s="355"/>
      <c r="C152" s="110">
        <f t="shared" si="34"/>
        <v>0</v>
      </c>
      <c r="D152" s="112">
        <f t="shared" si="41"/>
        <v>0</v>
      </c>
      <c r="E152" s="112">
        <f t="shared" si="41"/>
        <v>0</v>
      </c>
      <c r="F152" s="112">
        <f t="shared" si="41"/>
        <v>0</v>
      </c>
      <c r="G152" s="28">
        <f t="shared" si="41"/>
        <v>0</v>
      </c>
      <c r="H152" s="28">
        <f t="shared" si="39"/>
        <v>0</v>
      </c>
      <c r="I152" s="112">
        <f t="shared" si="42"/>
        <v>0</v>
      </c>
      <c r="J152" s="112">
        <f t="shared" si="42"/>
        <v>0</v>
      </c>
      <c r="K152" s="112">
        <f t="shared" si="42"/>
        <v>0</v>
      </c>
      <c r="L152" s="348"/>
      <c r="M152" s="348"/>
      <c r="N152" s="345"/>
      <c r="O152" s="345"/>
    </row>
    <row r="153" spans="1:15" ht="15" customHeight="1">
      <c r="A153" s="355" t="s">
        <v>49</v>
      </c>
      <c r="B153" s="355"/>
      <c r="C153" s="110">
        <f t="shared" si="34"/>
        <v>0</v>
      </c>
      <c r="D153" s="112">
        <f t="shared" si="41"/>
        <v>0</v>
      </c>
      <c r="E153" s="112">
        <f t="shared" si="41"/>
        <v>0</v>
      </c>
      <c r="F153" s="112">
        <f t="shared" si="41"/>
        <v>0</v>
      </c>
      <c r="G153" s="28">
        <f t="shared" si="41"/>
        <v>0</v>
      </c>
      <c r="H153" s="28">
        <f t="shared" si="39"/>
        <v>0</v>
      </c>
      <c r="I153" s="112">
        <f t="shared" si="42"/>
        <v>0</v>
      </c>
      <c r="J153" s="112">
        <f t="shared" si="42"/>
        <v>0</v>
      </c>
      <c r="K153" s="112">
        <f t="shared" si="42"/>
        <v>0</v>
      </c>
      <c r="L153" s="348"/>
      <c r="M153" s="348"/>
      <c r="N153" s="345"/>
      <c r="O153" s="345"/>
    </row>
    <row r="154" spans="1:15" ht="29.25" customHeight="1">
      <c r="A154" s="418" t="s">
        <v>62</v>
      </c>
      <c r="B154" s="419"/>
      <c r="C154" s="156"/>
      <c r="D154" s="156"/>
      <c r="E154" s="156"/>
      <c r="F154" s="156"/>
      <c r="G154" s="156"/>
      <c r="H154" s="28"/>
      <c r="I154" s="156"/>
      <c r="J154" s="156"/>
      <c r="K154" s="156"/>
      <c r="L154" s="348"/>
      <c r="M154" s="415"/>
      <c r="N154" s="315"/>
      <c r="O154" s="315"/>
    </row>
    <row r="155" spans="1:15" ht="15" customHeight="1">
      <c r="A155" s="355" t="s">
        <v>52</v>
      </c>
      <c r="B155" s="355"/>
      <c r="C155" s="110">
        <f t="shared" si="34"/>
        <v>270894.25926</v>
      </c>
      <c r="D155" s="112">
        <f aca="true" t="shared" si="43" ref="D155:K155">D156+D157+D158+D159+D160</f>
        <v>46342.92969</v>
      </c>
      <c r="E155" s="112">
        <f t="shared" si="43"/>
        <v>15306.85225</v>
      </c>
      <c r="F155" s="112">
        <f t="shared" si="43"/>
        <v>11402.54132</v>
      </c>
      <c r="G155" s="28">
        <f t="shared" si="43"/>
        <v>79756.73599999999</v>
      </c>
      <c r="H155" s="28">
        <f t="shared" si="39"/>
        <v>118085.19999999998</v>
      </c>
      <c r="I155" s="112">
        <f t="shared" si="43"/>
        <v>68569.9</v>
      </c>
      <c r="J155" s="112">
        <f t="shared" si="43"/>
        <v>18288.9</v>
      </c>
      <c r="K155" s="112">
        <f t="shared" si="43"/>
        <v>31226.4</v>
      </c>
      <c r="L155" s="348"/>
      <c r="M155" s="416"/>
      <c r="N155" s="315"/>
      <c r="O155" s="315"/>
    </row>
    <row r="156" spans="1:15" ht="15" customHeight="1">
      <c r="A156" s="355" t="s">
        <v>45</v>
      </c>
      <c r="B156" s="355"/>
      <c r="C156" s="110">
        <f t="shared" si="34"/>
        <v>0</v>
      </c>
      <c r="D156" s="112">
        <f>D163+D170+D178+D185+D193+D200+D207</f>
        <v>0</v>
      </c>
      <c r="E156" s="112">
        <f>E163+E170+E178+E185+E193+E200+E207</f>
        <v>0</v>
      </c>
      <c r="F156" s="112">
        <f>F163+F170+F178+F185+F193+F200+F207</f>
        <v>0</v>
      </c>
      <c r="G156" s="28">
        <f>G163+G170+G178+G185+G193+G200+G207</f>
        <v>0</v>
      </c>
      <c r="H156" s="28">
        <f t="shared" si="39"/>
        <v>0</v>
      </c>
      <c r="I156" s="112">
        <f>I163+I170+I178+I185+I193+I200+I207</f>
        <v>0</v>
      </c>
      <c r="J156" s="112">
        <f>J163+J170+J178+J185+J193+J200+J207</f>
        <v>0</v>
      </c>
      <c r="K156" s="112">
        <f>K163+K170+K178+K185+K193+K200+K207</f>
        <v>0</v>
      </c>
      <c r="L156" s="348"/>
      <c r="M156" s="416"/>
      <c r="N156" s="315"/>
      <c r="O156" s="315"/>
    </row>
    <row r="157" spans="1:15" ht="15" customHeight="1">
      <c r="A157" s="355" t="s">
        <v>46</v>
      </c>
      <c r="B157" s="355"/>
      <c r="C157" s="110">
        <f t="shared" si="34"/>
        <v>270894.25926</v>
      </c>
      <c r="D157" s="112">
        <f>D164+D171+D186+D194+D201+D208+D179</f>
        <v>46342.92969</v>
      </c>
      <c r="E157" s="112">
        <f>E164+E171+E186+E194+E201+E208+E179</f>
        <v>15306.85225</v>
      </c>
      <c r="F157" s="112">
        <f>F164+F171+F186+F194+F201+F208+F179</f>
        <v>11402.54132</v>
      </c>
      <c r="G157" s="28">
        <f>G164+G171+G186+G194+G201+G208+G179+G215</f>
        <v>79756.73599999999</v>
      </c>
      <c r="H157" s="28">
        <f t="shared" si="39"/>
        <v>118085.19999999998</v>
      </c>
      <c r="I157" s="28">
        <f>I164+I171+I186+I194+I201+I208+I179+I215</f>
        <v>68569.9</v>
      </c>
      <c r="J157" s="28">
        <f>J164+J171+J186+J194+J201+J208+J179+J215</f>
        <v>18288.9</v>
      </c>
      <c r="K157" s="28">
        <f>K164+K171+K186+K194+K201+K208+K179+K215</f>
        <v>31226.4</v>
      </c>
      <c r="L157" s="348"/>
      <c r="M157" s="416"/>
      <c r="N157" s="315"/>
      <c r="O157" s="315"/>
    </row>
    <row r="158" spans="1:15" ht="15" customHeight="1">
      <c r="A158" s="355" t="s">
        <v>47</v>
      </c>
      <c r="B158" s="355"/>
      <c r="C158" s="110">
        <f t="shared" si="34"/>
        <v>0</v>
      </c>
      <c r="D158" s="112">
        <f aca="true" t="shared" si="44" ref="D158:G160">D165+D172+D180+D187+D195+D202+D209</f>
        <v>0</v>
      </c>
      <c r="E158" s="112">
        <f t="shared" si="44"/>
        <v>0</v>
      </c>
      <c r="F158" s="112">
        <f t="shared" si="44"/>
        <v>0</v>
      </c>
      <c r="G158" s="28">
        <f t="shared" si="44"/>
        <v>0</v>
      </c>
      <c r="H158" s="28">
        <f t="shared" si="39"/>
        <v>0</v>
      </c>
      <c r="I158" s="112">
        <f aca="true" t="shared" si="45" ref="I158:K160">I165+I172+I180+I187+I195+I202+I209</f>
        <v>0</v>
      </c>
      <c r="J158" s="112">
        <f t="shared" si="45"/>
        <v>0</v>
      </c>
      <c r="K158" s="112">
        <f t="shared" si="45"/>
        <v>0</v>
      </c>
      <c r="L158" s="348"/>
      <c r="M158" s="416"/>
      <c r="N158" s="315"/>
      <c r="O158" s="315"/>
    </row>
    <row r="159" spans="1:15" ht="20.25" customHeight="1">
      <c r="A159" s="355" t="s">
        <v>48</v>
      </c>
      <c r="B159" s="355"/>
      <c r="C159" s="110">
        <f t="shared" si="34"/>
        <v>0</v>
      </c>
      <c r="D159" s="112">
        <f t="shared" si="44"/>
        <v>0</v>
      </c>
      <c r="E159" s="112">
        <f t="shared" si="44"/>
        <v>0</v>
      </c>
      <c r="F159" s="112">
        <f t="shared" si="44"/>
        <v>0</v>
      </c>
      <c r="G159" s="28">
        <f t="shared" si="44"/>
        <v>0</v>
      </c>
      <c r="H159" s="28">
        <f t="shared" si="39"/>
        <v>0</v>
      </c>
      <c r="I159" s="112">
        <f t="shared" si="45"/>
        <v>0</v>
      </c>
      <c r="J159" s="112">
        <f t="shared" si="45"/>
        <v>0</v>
      </c>
      <c r="K159" s="112">
        <f t="shared" si="45"/>
        <v>0</v>
      </c>
      <c r="L159" s="348"/>
      <c r="M159" s="416"/>
      <c r="N159" s="315"/>
      <c r="O159" s="315"/>
    </row>
    <row r="160" spans="1:15" ht="15" customHeight="1">
      <c r="A160" s="355" t="s">
        <v>49</v>
      </c>
      <c r="B160" s="355"/>
      <c r="C160" s="110">
        <f t="shared" si="34"/>
        <v>0</v>
      </c>
      <c r="D160" s="112">
        <f t="shared" si="44"/>
        <v>0</v>
      </c>
      <c r="E160" s="112">
        <f t="shared" si="44"/>
        <v>0</v>
      </c>
      <c r="F160" s="112">
        <f t="shared" si="44"/>
        <v>0</v>
      </c>
      <c r="G160" s="28">
        <f t="shared" si="44"/>
        <v>0</v>
      </c>
      <c r="H160" s="28">
        <f t="shared" si="39"/>
        <v>0</v>
      </c>
      <c r="I160" s="112">
        <f t="shared" si="45"/>
        <v>0</v>
      </c>
      <c r="J160" s="112">
        <f t="shared" si="45"/>
        <v>0</v>
      </c>
      <c r="K160" s="112">
        <f t="shared" si="45"/>
        <v>0</v>
      </c>
      <c r="L160" s="348"/>
      <c r="M160" s="417"/>
      <c r="N160" s="315"/>
      <c r="O160" s="315"/>
    </row>
    <row r="161" spans="1:15" ht="47.25" customHeight="1">
      <c r="A161" s="362" t="s">
        <v>63</v>
      </c>
      <c r="B161" s="363"/>
      <c r="C161" s="149"/>
      <c r="D161" s="149"/>
      <c r="E161" s="149"/>
      <c r="F161" s="149"/>
      <c r="G161" s="149"/>
      <c r="H161" s="28"/>
      <c r="I161" s="149"/>
      <c r="J161" s="149"/>
      <c r="K161" s="149"/>
      <c r="L161" s="348" t="s">
        <v>222</v>
      </c>
      <c r="M161" s="348" t="s">
        <v>64</v>
      </c>
      <c r="N161" s="347"/>
      <c r="O161" s="347"/>
    </row>
    <row r="162" spans="1:15" ht="15" customHeight="1">
      <c r="A162" s="355" t="s">
        <v>52</v>
      </c>
      <c r="B162" s="355"/>
      <c r="C162" s="110">
        <f t="shared" si="34"/>
        <v>21723.69469</v>
      </c>
      <c r="D162" s="112">
        <f aca="true" t="shared" si="46" ref="D162:K162">D163+D164+D165+D166+D167</f>
        <v>4803.69469</v>
      </c>
      <c r="E162" s="112">
        <f t="shared" si="46"/>
        <v>4820</v>
      </c>
      <c r="F162" s="112">
        <f t="shared" si="46"/>
        <v>4200</v>
      </c>
      <c r="G162" s="28">
        <f t="shared" si="46"/>
        <v>3000</v>
      </c>
      <c r="H162" s="28">
        <f t="shared" si="39"/>
        <v>4900</v>
      </c>
      <c r="I162" s="112">
        <f t="shared" si="46"/>
        <v>4900</v>
      </c>
      <c r="J162" s="112">
        <f t="shared" si="46"/>
        <v>0</v>
      </c>
      <c r="K162" s="112">
        <f t="shared" si="46"/>
        <v>0</v>
      </c>
      <c r="L162" s="348"/>
      <c r="M162" s="348"/>
      <c r="N162" s="347"/>
      <c r="O162" s="347"/>
    </row>
    <row r="163" spans="1:15" ht="15" customHeight="1">
      <c r="A163" s="355" t="s">
        <v>45</v>
      </c>
      <c r="B163" s="355"/>
      <c r="C163" s="110">
        <f t="shared" si="34"/>
        <v>0</v>
      </c>
      <c r="D163" s="112">
        <v>0</v>
      </c>
      <c r="E163" s="112">
        <v>0</v>
      </c>
      <c r="F163" s="112">
        <v>0</v>
      </c>
      <c r="G163" s="28">
        <v>0</v>
      </c>
      <c r="H163" s="28">
        <f t="shared" si="39"/>
        <v>0</v>
      </c>
      <c r="I163" s="112">
        <v>0</v>
      </c>
      <c r="J163" s="112">
        <v>0</v>
      </c>
      <c r="K163" s="112">
        <v>0</v>
      </c>
      <c r="L163" s="348"/>
      <c r="M163" s="348"/>
      <c r="N163" s="347"/>
      <c r="O163" s="347"/>
    </row>
    <row r="164" spans="1:15" ht="15" customHeight="1">
      <c r="A164" s="355" t="s">
        <v>54</v>
      </c>
      <c r="B164" s="355"/>
      <c r="C164" s="110">
        <f t="shared" si="34"/>
        <v>21723.69469</v>
      </c>
      <c r="D164" s="112">
        <v>4803.69469</v>
      </c>
      <c r="E164" s="112">
        <v>4820</v>
      </c>
      <c r="F164" s="112">
        <v>4200</v>
      </c>
      <c r="G164" s="28">
        <v>3000</v>
      </c>
      <c r="H164" s="28">
        <f t="shared" si="39"/>
        <v>4900</v>
      </c>
      <c r="I164" s="112">
        <v>4900</v>
      </c>
      <c r="J164" s="112">
        <v>0</v>
      </c>
      <c r="K164" s="112"/>
      <c r="L164" s="348"/>
      <c r="M164" s="348"/>
      <c r="N164" s="347"/>
      <c r="O164" s="347"/>
    </row>
    <row r="165" spans="1:15" ht="15" customHeight="1">
      <c r="A165" s="355" t="s">
        <v>47</v>
      </c>
      <c r="B165" s="355"/>
      <c r="C165" s="110">
        <f t="shared" si="34"/>
        <v>0</v>
      </c>
      <c r="D165" s="112">
        <v>0</v>
      </c>
      <c r="E165" s="112">
        <v>0</v>
      </c>
      <c r="F165" s="112">
        <v>0</v>
      </c>
      <c r="G165" s="28">
        <v>0</v>
      </c>
      <c r="H165" s="28">
        <f t="shared" si="39"/>
        <v>0</v>
      </c>
      <c r="I165" s="112">
        <v>0</v>
      </c>
      <c r="J165" s="112">
        <v>0</v>
      </c>
      <c r="K165" s="112">
        <v>0</v>
      </c>
      <c r="L165" s="348"/>
      <c r="M165" s="348"/>
      <c r="N165" s="347"/>
      <c r="O165" s="347"/>
    </row>
    <row r="166" spans="1:15" ht="15" customHeight="1">
      <c r="A166" s="355" t="s">
        <v>48</v>
      </c>
      <c r="B166" s="355"/>
      <c r="C166" s="110">
        <f t="shared" si="34"/>
        <v>0</v>
      </c>
      <c r="D166" s="112">
        <v>0</v>
      </c>
      <c r="E166" s="112">
        <v>0</v>
      </c>
      <c r="F166" s="112">
        <v>0</v>
      </c>
      <c r="G166" s="28">
        <v>0</v>
      </c>
      <c r="H166" s="28">
        <f t="shared" si="39"/>
        <v>0</v>
      </c>
      <c r="I166" s="112">
        <v>0</v>
      </c>
      <c r="J166" s="112">
        <v>0</v>
      </c>
      <c r="K166" s="112">
        <v>0</v>
      </c>
      <c r="L166" s="348"/>
      <c r="M166" s="348"/>
      <c r="N166" s="347"/>
      <c r="O166" s="347"/>
    </row>
    <row r="167" spans="1:15" ht="15" customHeight="1">
      <c r="A167" s="355" t="s">
        <v>49</v>
      </c>
      <c r="B167" s="355"/>
      <c r="C167" s="110">
        <f t="shared" si="34"/>
        <v>0</v>
      </c>
      <c r="D167" s="112">
        <v>0</v>
      </c>
      <c r="E167" s="112">
        <v>0</v>
      </c>
      <c r="F167" s="112">
        <v>0</v>
      </c>
      <c r="G167" s="28">
        <v>0</v>
      </c>
      <c r="H167" s="28">
        <f t="shared" si="39"/>
        <v>0</v>
      </c>
      <c r="I167" s="112">
        <v>0</v>
      </c>
      <c r="J167" s="112">
        <v>0</v>
      </c>
      <c r="K167" s="112">
        <v>0</v>
      </c>
      <c r="L167" s="348"/>
      <c r="M167" s="348"/>
      <c r="N167" s="347"/>
      <c r="O167" s="347"/>
    </row>
    <row r="168" spans="1:15" ht="94.5" customHeight="1">
      <c r="A168" s="362" t="s">
        <v>238</v>
      </c>
      <c r="B168" s="363"/>
      <c r="C168" s="149"/>
      <c r="D168" s="149"/>
      <c r="E168" s="149"/>
      <c r="F168" s="149"/>
      <c r="G168" s="149"/>
      <c r="H168" s="28"/>
      <c r="I168" s="149"/>
      <c r="J168" s="149"/>
      <c r="K168" s="149"/>
      <c r="L168" s="348" t="s">
        <v>222</v>
      </c>
      <c r="M168" s="348" t="s">
        <v>239</v>
      </c>
      <c r="N168" s="315"/>
      <c r="O168" s="315"/>
    </row>
    <row r="169" spans="1:15" ht="15" customHeight="1">
      <c r="A169" s="355" t="s">
        <v>52</v>
      </c>
      <c r="B169" s="355"/>
      <c r="C169" s="110">
        <f aca="true" t="shared" si="47" ref="C169:C174">D169+E169+F169+G169+I169+J169+K169</f>
        <v>144526.98195</v>
      </c>
      <c r="D169" s="112">
        <f aca="true" t="shared" si="48" ref="D169:K169">D170+D171+D172+D173+D174</f>
        <v>19299.86</v>
      </c>
      <c r="E169" s="112">
        <f t="shared" si="48"/>
        <v>314.09</v>
      </c>
      <c r="F169" s="112">
        <f t="shared" si="48"/>
        <v>805.159</v>
      </c>
      <c r="G169" s="28">
        <f t="shared" si="48"/>
        <v>46473.87295</v>
      </c>
      <c r="H169" s="28">
        <f t="shared" si="39"/>
        <v>77634</v>
      </c>
      <c r="I169" s="112">
        <f t="shared" si="48"/>
        <v>48634</v>
      </c>
      <c r="J169" s="112">
        <f t="shared" si="48"/>
        <v>9000</v>
      </c>
      <c r="K169" s="112">
        <f t="shared" si="48"/>
        <v>20000</v>
      </c>
      <c r="L169" s="348"/>
      <c r="M169" s="348"/>
      <c r="N169" s="315"/>
      <c r="O169" s="315"/>
    </row>
    <row r="170" spans="1:15" ht="15" customHeight="1">
      <c r="A170" s="355" t="s">
        <v>45</v>
      </c>
      <c r="B170" s="355"/>
      <c r="C170" s="110">
        <f t="shared" si="47"/>
        <v>0</v>
      </c>
      <c r="D170" s="112">
        <v>0</v>
      </c>
      <c r="E170" s="112">
        <v>0</v>
      </c>
      <c r="F170" s="112">
        <v>0</v>
      </c>
      <c r="G170" s="28">
        <v>0</v>
      </c>
      <c r="H170" s="28">
        <f t="shared" si="39"/>
        <v>0</v>
      </c>
      <c r="I170" s="112">
        <v>0</v>
      </c>
      <c r="J170" s="112">
        <v>0</v>
      </c>
      <c r="K170" s="112">
        <v>0</v>
      </c>
      <c r="L170" s="348"/>
      <c r="M170" s="348"/>
      <c r="N170" s="315"/>
      <c r="O170" s="315"/>
    </row>
    <row r="171" spans="1:15" ht="15" customHeight="1">
      <c r="A171" s="355" t="s">
        <v>54</v>
      </c>
      <c r="B171" s="355"/>
      <c r="C171" s="110">
        <f t="shared" si="47"/>
        <v>144526.98195</v>
      </c>
      <c r="D171" s="112">
        <v>19299.86</v>
      </c>
      <c r="E171" s="112">
        <v>314.09</v>
      </c>
      <c r="F171" s="112">
        <v>805.159</v>
      </c>
      <c r="G171" s="28">
        <v>46473.87295</v>
      </c>
      <c r="H171" s="28">
        <f t="shared" si="39"/>
        <v>77634</v>
      </c>
      <c r="I171" s="112">
        <v>48634</v>
      </c>
      <c r="J171" s="112">
        <v>9000</v>
      </c>
      <c r="K171" s="112">
        <v>20000</v>
      </c>
      <c r="L171" s="348"/>
      <c r="M171" s="348"/>
      <c r="N171" s="315"/>
      <c r="O171" s="315"/>
    </row>
    <row r="172" spans="1:15" ht="15" customHeight="1">
      <c r="A172" s="355" t="s">
        <v>47</v>
      </c>
      <c r="B172" s="355"/>
      <c r="C172" s="110">
        <f t="shared" si="47"/>
        <v>0</v>
      </c>
      <c r="D172" s="112">
        <v>0</v>
      </c>
      <c r="E172" s="112">
        <v>0</v>
      </c>
      <c r="F172" s="112">
        <v>0</v>
      </c>
      <c r="G172" s="28">
        <v>0</v>
      </c>
      <c r="H172" s="28">
        <f t="shared" si="39"/>
        <v>0</v>
      </c>
      <c r="I172" s="112">
        <v>0</v>
      </c>
      <c r="J172" s="112">
        <v>0</v>
      </c>
      <c r="K172" s="112">
        <v>0</v>
      </c>
      <c r="L172" s="348"/>
      <c r="M172" s="348"/>
      <c r="N172" s="315"/>
      <c r="O172" s="315"/>
    </row>
    <row r="173" spans="1:15" ht="15" customHeight="1">
      <c r="A173" s="355" t="s">
        <v>48</v>
      </c>
      <c r="B173" s="355"/>
      <c r="C173" s="110">
        <f t="shared" si="47"/>
        <v>0</v>
      </c>
      <c r="D173" s="112">
        <v>0</v>
      </c>
      <c r="E173" s="112">
        <v>0</v>
      </c>
      <c r="F173" s="112">
        <v>0</v>
      </c>
      <c r="G173" s="28">
        <v>0</v>
      </c>
      <c r="H173" s="28">
        <f t="shared" si="39"/>
        <v>0</v>
      </c>
      <c r="I173" s="112">
        <v>0</v>
      </c>
      <c r="J173" s="112">
        <v>0</v>
      </c>
      <c r="K173" s="112">
        <v>0</v>
      </c>
      <c r="L173" s="348"/>
      <c r="M173" s="348"/>
      <c r="N173" s="315"/>
      <c r="O173" s="315"/>
    </row>
    <row r="174" spans="1:15" ht="12.75" customHeight="1">
      <c r="A174" s="355" t="s">
        <v>49</v>
      </c>
      <c r="B174" s="355"/>
      <c r="C174" s="110">
        <f t="shared" si="47"/>
        <v>0</v>
      </c>
      <c r="D174" s="112">
        <v>0</v>
      </c>
      <c r="E174" s="112">
        <v>0</v>
      </c>
      <c r="F174" s="112">
        <v>0</v>
      </c>
      <c r="G174" s="28">
        <v>0</v>
      </c>
      <c r="H174" s="28">
        <f t="shared" si="39"/>
        <v>0</v>
      </c>
      <c r="I174" s="112">
        <v>0</v>
      </c>
      <c r="J174" s="112">
        <v>0</v>
      </c>
      <c r="K174" s="112">
        <v>0</v>
      </c>
      <c r="L174" s="348"/>
      <c r="M174" s="348"/>
      <c r="N174" s="315"/>
      <c r="O174" s="315"/>
    </row>
    <row r="175" spans="1:15" ht="72.75" customHeight="1">
      <c r="A175" s="360" t="s">
        <v>274</v>
      </c>
      <c r="B175" s="361"/>
      <c r="C175" s="209"/>
      <c r="D175" s="209"/>
      <c r="E175" s="209"/>
      <c r="F175" s="209"/>
      <c r="G175" s="204"/>
      <c r="H175" s="204"/>
      <c r="I175" s="209"/>
      <c r="J175" s="209"/>
      <c r="K175" s="209"/>
      <c r="L175" s="210"/>
      <c r="M175" s="210"/>
      <c r="N175" s="211"/>
      <c r="O175" s="211" t="s">
        <v>386</v>
      </c>
    </row>
    <row r="176" spans="1:15" ht="105.75" customHeight="1">
      <c r="A176" s="362" t="s">
        <v>65</v>
      </c>
      <c r="B176" s="363"/>
      <c r="C176" s="149"/>
      <c r="D176" s="149"/>
      <c r="E176" s="149"/>
      <c r="F176" s="149"/>
      <c r="G176" s="149"/>
      <c r="H176" s="28"/>
      <c r="I176" s="149"/>
      <c r="J176" s="149"/>
      <c r="K176" s="149"/>
      <c r="L176" s="348" t="s">
        <v>222</v>
      </c>
      <c r="M176" s="348" t="s">
        <v>68</v>
      </c>
      <c r="N176" s="347"/>
      <c r="O176" s="347"/>
    </row>
    <row r="177" spans="1:15" ht="15" customHeight="1">
      <c r="A177" s="355" t="s">
        <v>52</v>
      </c>
      <c r="B177" s="355"/>
      <c r="C177" s="110">
        <f aca="true" t="shared" si="49" ref="C177:C182">D177+E177+F177+G177+I177+J177+K177</f>
        <v>7891.65</v>
      </c>
      <c r="D177" s="112">
        <f aca="true" t="shared" si="50" ref="D177:K177">D178+D179+D180+D181+D182</f>
        <v>1380</v>
      </c>
      <c r="E177" s="112">
        <f t="shared" si="50"/>
        <v>1011.65</v>
      </c>
      <c r="F177" s="112">
        <f t="shared" si="50"/>
        <v>1000</v>
      </c>
      <c r="G177" s="28">
        <f t="shared" si="50"/>
        <v>1000</v>
      </c>
      <c r="H177" s="28">
        <f t="shared" si="39"/>
        <v>3500</v>
      </c>
      <c r="I177" s="112">
        <f t="shared" si="50"/>
        <v>2000</v>
      </c>
      <c r="J177" s="112">
        <f t="shared" si="50"/>
        <v>500</v>
      </c>
      <c r="K177" s="112">
        <f t="shared" si="50"/>
        <v>1000</v>
      </c>
      <c r="L177" s="348"/>
      <c r="M177" s="348"/>
      <c r="N177" s="347"/>
      <c r="O177" s="347"/>
    </row>
    <row r="178" spans="1:15" ht="15" customHeight="1">
      <c r="A178" s="355" t="s">
        <v>45</v>
      </c>
      <c r="B178" s="355"/>
      <c r="C178" s="110">
        <f t="shared" si="49"/>
        <v>0</v>
      </c>
      <c r="D178" s="112">
        <v>0</v>
      </c>
      <c r="E178" s="112">
        <v>0</v>
      </c>
      <c r="F178" s="112">
        <v>0</v>
      </c>
      <c r="G178" s="28">
        <v>0</v>
      </c>
      <c r="H178" s="28">
        <f t="shared" si="39"/>
        <v>0</v>
      </c>
      <c r="I178" s="112">
        <v>0</v>
      </c>
      <c r="J178" s="112">
        <v>0</v>
      </c>
      <c r="K178" s="112">
        <v>0</v>
      </c>
      <c r="L178" s="348"/>
      <c r="M178" s="348"/>
      <c r="N178" s="347"/>
      <c r="O178" s="347"/>
    </row>
    <row r="179" spans="1:15" ht="15" customHeight="1">
      <c r="A179" s="355" t="s">
        <v>54</v>
      </c>
      <c r="B179" s="355"/>
      <c r="C179" s="110">
        <f t="shared" si="49"/>
        <v>7891.65</v>
      </c>
      <c r="D179" s="112">
        <v>1380</v>
      </c>
      <c r="E179" s="112">
        <v>1011.65</v>
      </c>
      <c r="F179" s="112">
        <v>1000</v>
      </c>
      <c r="G179" s="28">
        <v>1000</v>
      </c>
      <c r="H179" s="28">
        <f t="shared" si="39"/>
        <v>3500</v>
      </c>
      <c r="I179" s="112">
        <v>2000</v>
      </c>
      <c r="J179" s="112">
        <v>500</v>
      </c>
      <c r="K179" s="112">
        <v>1000</v>
      </c>
      <c r="L179" s="348"/>
      <c r="M179" s="348"/>
      <c r="N179" s="347"/>
      <c r="O179" s="347"/>
    </row>
    <row r="180" spans="1:15" ht="15" customHeight="1">
      <c r="A180" s="355" t="s">
        <v>47</v>
      </c>
      <c r="B180" s="355"/>
      <c r="C180" s="110">
        <f t="shared" si="49"/>
        <v>0</v>
      </c>
      <c r="D180" s="112">
        <v>0</v>
      </c>
      <c r="E180" s="112">
        <v>0</v>
      </c>
      <c r="F180" s="112">
        <v>0</v>
      </c>
      <c r="G180" s="28">
        <v>0</v>
      </c>
      <c r="H180" s="28">
        <f t="shared" si="39"/>
        <v>0</v>
      </c>
      <c r="I180" s="112">
        <v>0</v>
      </c>
      <c r="J180" s="112">
        <v>0</v>
      </c>
      <c r="K180" s="112">
        <v>0</v>
      </c>
      <c r="L180" s="348"/>
      <c r="M180" s="348"/>
      <c r="N180" s="347"/>
      <c r="O180" s="347"/>
    </row>
    <row r="181" spans="1:15" ht="15" customHeight="1">
      <c r="A181" s="355" t="s">
        <v>48</v>
      </c>
      <c r="B181" s="355"/>
      <c r="C181" s="110">
        <f t="shared" si="49"/>
        <v>0</v>
      </c>
      <c r="D181" s="112">
        <v>0</v>
      </c>
      <c r="E181" s="112">
        <v>0</v>
      </c>
      <c r="F181" s="112">
        <v>0</v>
      </c>
      <c r="G181" s="28">
        <v>0</v>
      </c>
      <c r="H181" s="28">
        <f t="shared" si="39"/>
        <v>0</v>
      </c>
      <c r="I181" s="112">
        <v>0</v>
      </c>
      <c r="J181" s="112">
        <v>0</v>
      </c>
      <c r="K181" s="112">
        <v>0</v>
      </c>
      <c r="L181" s="348"/>
      <c r="M181" s="348"/>
      <c r="N181" s="347"/>
      <c r="O181" s="347"/>
    </row>
    <row r="182" spans="1:15" ht="15" customHeight="1">
      <c r="A182" s="355" t="s">
        <v>49</v>
      </c>
      <c r="B182" s="355"/>
      <c r="C182" s="110">
        <f t="shared" si="49"/>
        <v>0</v>
      </c>
      <c r="D182" s="112">
        <v>0</v>
      </c>
      <c r="E182" s="112">
        <v>0</v>
      </c>
      <c r="F182" s="112">
        <v>0</v>
      </c>
      <c r="G182" s="28">
        <v>0</v>
      </c>
      <c r="H182" s="28">
        <f t="shared" si="39"/>
        <v>0</v>
      </c>
      <c r="I182" s="112">
        <v>0</v>
      </c>
      <c r="J182" s="112">
        <v>0</v>
      </c>
      <c r="K182" s="112">
        <v>0</v>
      </c>
      <c r="L182" s="348"/>
      <c r="M182" s="348"/>
      <c r="N182" s="347"/>
      <c r="O182" s="347"/>
    </row>
    <row r="183" spans="1:15" ht="62.25" customHeight="1">
      <c r="A183" s="362" t="s">
        <v>27</v>
      </c>
      <c r="B183" s="363"/>
      <c r="C183" s="149"/>
      <c r="D183" s="149"/>
      <c r="E183" s="149"/>
      <c r="F183" s="149"/>
      <c r="G183" s="149"/>
      <c r="H183" s="28"/>
      <c r="I183" s="149"/>
      <c r="J183" s="149"/>
      <c r="K183" s="149"/>
      <c r="L183" s="348" t="s">
        <v>222</v>
      </c>
      <c r="M183" s="348" t="s">
        <v>69</v>
      </c>
      <c r="N183" s="311"/>
      <c r="O183" s="311"/>
    </row>
    <row r="184" spans="1:15" ht="15" customHeight="1">
      <c r="A184" s="355" t="s">
        <v>52</v>
      </c>
      <c r="B184" s="355"/>
      <c r="C184" s="110">
        <f aca="true" t="shared" si="51" ref="C184:C189">D184+E184+F184+G184+I184+J184+K184</f>
        <v>31902.202999999998</v>
      </c>
      <c r="D184" s="112">
        <f aca="true" t="shared" si="52" ref="D184:K184">D185+D186+D187+D188+D189</f>
        <v>4540.675</v>
      </c>
      <c r="E184" s="112">
        <f t="shared" si="52"/>
        <v>1950</v>
      </c>
      <c r="F184" s="112">
        <f t="shared" si="52"/>
        <v>1800</v>
      </c>
      <c r="G184" s="28">
        <f t="shared" si="52"/>
        <v>19626.528</v>
      </c>
      <c r="H184" s="28">
        <f t="shared" si="39"/>
        <v>3985</v>
      </c>
      <c r="I184" s="112">
        <f t="shared" si="52"/>
        <v>1985</v>
      </c>
      <c r="J184" s="112">
        <f t="shared" si="52"/>
        <v>0</v>
      </c>
      <c r="K184" s="112">
        <f t="shared" si="52"/>
        <v>2000</v>
      </c>
      <c r="L184" s="348"/>
      <c r="M184" s="348"/>
      <c r="N184" s="312"/>
      <c r="O184" s="312"/>
    </row>
    <row r="185" spans="1:15" ht="15" customHeight="1">
      <c r="A185" s="355" t="s">
        <v>45</v>
      </c>
      <c r="B185" s="355"/>
      <c r="C185" s="110">
        <f t="shared" si="51"/>
        <v>0</v>
      </c>
      <c r="D185" s="112">
        <v>0</v>
      </c>
      <c r="E185" s="112">
        <v>0</v>
      </c>
      <c r="F185" s="112">
        <v>0</v>
      </c>
      <c r="G185" s="28">
        <v>0</v>
      </c>
      <c r="H185" s="28">
        <f t="shared" si="39"/>
        <v>0</v>
      </c>
      <c r="I185" s="112">
        <v>0</v>
      </c>
      <c r="J185" s="112">
        <v>0</v>
      </c>
      <c r="K185" s="112">
        <v>0</v>
      </c>
      <c r="L185" s="348"/>
      <c r="M185" s="348"/>
      <c r="N185" s="312"/>
      <c r="O185" s="312"/>
    </row>
    <row r="186" spans="1:15" ht="15" customHeight="1">
      <c r="A186" s="355" t="s">
        <v>54</v>
      </c>
      <c r="B186" s="355"/>
      <c r="C186" s="110">
        <f t="shared" si="51"/>
        <v>31902.202999999998</v>
      </c>
      <c r="D186" s="112">
        <v>4540.675</v>
      </c>
      <c r="E186" s="112">
        <v>1950</v>
      </c>
      <c r="F186" s="112">
        <v>1800</v>
      </c>
      <c r="G186" s="28">
        <v>19626.528</v>
      </c>
      <c r="H186" s="28">
        <f t="shared" si="39"/>
        <v>3985</v>
      </c>
      <c r="I186" s="222">
        <v>1985</v>
      </c>
      <c r="J186" s="112">
        <v>0</v>
      </c>
      <c r="K186" s="112">
        <v>2000</v>
      </c>
      <c r="L186" s="348"/>
      <c r="M186" s="348"/>
      <c r="N186" s="312"/>
      <c r="O186" s="312"/>
    </row>
    <row r="187" spans="1:15" ht="15" customHeight="1">
      <c r="A187" s="355" t="s">
        <v>47</v>
      </c>
      <c r="B187" s="355"/>
      <c r="C187" s="110">
        <f t="shared" si="51"/>
        <v>0</v>
      </c>
      <c r="D187" s="112">
        <v>0</v>
      </c>
      <c r="E187" s="112">
        <v>0</v>
      </c>
      <c r="F187" s="112">
        <v>0</v>
      </c>
      <c r="G187" s="28">
        <v>0</v>
      </c>
      <c r="H187" s="28">
        <f t="shared" si="39"/>
        <v>0</v>
      </c>
      <c r="I187" s="112">
        <v>0</v>
      </c>
      <c r="J187" s="112">
        <v>0</v>
      </c>
      <c r="K187" s="112">
        <v>0</v>
      </c>
      <c r="L187" s="348"/>
      <c r="M187" s="348"/>
      <c r="N187" s="312"/>
      <c r="O187" s="312"/>
    </row>
    <row r="188" spans="1:15" ht="15" customHeight="1">
      <c r="A188" s="355" t="s">
        <v>48</v>
      </c>
      <c r="B188" s="355"/>
      <c r="C188" s="110">
        <f t="shared" si="51"/>
        <v>0</v>
      </c>
      <c r="D188" s="112">
        <v>0</v>
      </c>
      <c r="E188" s="112">
        <v>0</v>
      </c>
      <c r="F188" s="112">
        <v>0</v>
      </c>
      <c r="G188" s="28">
        <v>0</v>
      </c>
      <c r="H188" s="28">
        <f t="shared" si="39"/>
        <v>0</v>
      </c>
      <c r="I188" s="112">
        <v>0</v>
      </c>
      <c r="J188" s="112">
        <v>0</v>
      </c>
      <c r="K188" s="112">
        <v>0</v>
      </c>
      <c r="L188" s="348"/>
      <c r="M188" s="348"/>
      <c r="N188" s="312"/>
      <c r="O188" s="312"/>
    </row>
    <row r="189" spans="1:15" ht="15" customHeight="1">
      <c r="A189" s="355" t="s">
        <v>49</v>
      </c>
      <c r="B189" s="355"/>
      <c r="C189" s="110">
        <f t="shared" si="51"/>
        <v>0</v>
      </c>
      <c r="D189" s="112">
        <v>0</v>
      </c>
      <c r="E189" s="112">
        <v>0</v>
      </c>
      <c r="F189" s="112">
        <v>0</v>
      </c>
      <c r="G189" s="28">
        <v>0</v>
      </c>
      <c r="H189" s="28">
        <f t="shared" si="39"/>
        <v>0</v>
      </c>
      <c r="I189" s="112">
        <v>0</v>
      </c>
      <c r="J189" s="112">
        <v>0</v>
      </c>
      <c r="K189" s="112">
        <v>0</v>
      </c>
      <c r="L189" s="348"/>
      <c r="M189" s="348"/>
      <c r="N189" s="312"/>
      <c r="O189" s="312"/>
    </row>
    <row r="190" spans="1:15" ht="15" customHeight="1">
      <c r="A190" s="362" t="s">
        <v>55</v>
      </c>
      <c r="B190" s="363"/>
      <c r="C190" s="112"/>
      <c r="D190" s="112"/>
      <c r="E190" s="112"/>
      <c r="F190" s="112"/>
      <c r="G190" s="28"/>
      <c r="H190" s="28">
        <f t="shared" si="39"/>
        <v>0</v>
      </c>
      <c r="I190" s="112"/>
      <c r="J190" s="112"/>
      <c r="K190" s="112"/>
      <c r="L190" s="348"/>
      <c r="M190" s="348"/>
      <c r="N190" s="313"/>
      <c r="O190" s="313"/>
    </row>
    <row r="191" spans="1:15" ht="44.25" customHeight="1">
      <c r="A191" s="353" t="s">
        <v>70</v>
      </c>
      <c r="B191" s="354"/>
      <c r="C191" s="157"/>
      <c r="D191" s="157"/>
      <c r="E191" s="157"/>
      <c r="F191" s="157"/>
      <c r="G191" s="157"/>
      <c r="H191" s="28"/>
      <c r="I191" s="157"/>
      <c r="J191" s="157"/>
      <c r="K191" s="157"/>
      <c r="L191" s="348" t="s">
        <v>222</v>
      </c>
      <c r="M191" s="348" t="s">
        <v>150</v>
      </c>
      <c r="N191" s="347"/>
      <c r="O191" s="347"/>
    </row>
    <row r="192" spans="1:15" ht="15" customHeight="1">
      <c r="A192" s="318" t="s">
        <v>52</v>
      </c>
      <c r="B192" s="318"/>
      <c r="C192" s="110">
        <f aca="true" t="shared" si="53" ref="C192:C197">D192+E192+F192+G192+I192+J192+K192</f>
        <v>54291.42962</v>
      </c>
      <c r="D192" s="28">
        <f aca="true" t="shared" si="54" ref="D192:K192">D193+D194+D195+D196+D197</f>
        <v>13953.3</v>
      </c>
      <c r="E192" s="28">
        <f t="shared" si="54"/>
        <v>5408.21225</v>
      </c>
      <c r="F192" s="28">
        <f t="shared" si="54"/>
        <v>2197.3823200000006</v>
      </c>
      <c r="G192" s="28">
        <f t="shared" si="54"/>
        <v>7266.33505</v>
      </c>
      <c r="H192" s="28">
        <f t="shared" si="39"/>
        <v>25466.199999999997</v>
      </c>
      <c r="I192" s="28">
        <f t="shared" si="54"/>
        <v>8450.9</v>
      </c>
      <c r="J192" s="28">
        <f t="shared" si="54"/>
        <v>8788.9</v>
      </c>
      <c r="K192" s="28">
        <f t="shared" si="54"/>
        <v>8226.4</v>
      </c>
      <c r="L192" s="348"/>
      <c r="M192" s="348"/>
      <c r="N192" s="347"/>
      <c r="O192" s="347"/>
    </row>
    <row r="193" spans="1:15" ht="15" customHeight="1">
      <c r="A193" s="318" t="s">
        <v>45</v>
      </c>
      <c r="B193" s="318"/>
      <c r="C193" s="110">
        <f t="shared" si="53"/>
        <v>0</v>
      </c>
      <c r="D193" s="28">
        <v>0</v>
      </c>
      <c r="E193" s="28">
        <v>0</v>
      </c>
      <c r="F193" s="28">
        <v>0</v>
      </c>
      <c r="G193" s="28">
        <v>0</v>
      </c>
      <c r="H193" s="28">
        <f t="shared" si="39"/>
        <v>0</v>
      </c>
      <c r="I193" s="28">
        <v>0</v>
      </c>
      <c r="J193" s="28">
        <v>0</v>
      </c>
      <c r="K193" s="28">
        <v>0</v>
      </c>
      <c r="L193" s="348"/>
      <c r="M193" s="348"/>
      <c r="N193" s="347"/>
      <c r="O193" s="347"/>
    </row>
    <row r="194" spans="1:42" s="30" customFormat="1" ht="15" customHeight="1">
      <c r="A194" s="318" t="s">
        <v>46</v>
      </c>
      <c r="B194" s="318"/>
      <c r="C194" s="110">
        <f t="shared" si="53"/>
        <v>54291.42962</v>
      </c>
      <c r="D194" s="28">
        <f>14903.3-950</f>
        <v>13953.3</v>
      </c>
      <c r="E194" s="28">
        <v>5408.21225</v>
      </c>
      <c r="F194" s="28">
        <f>11000-8802.61768</f>
        <v>2197.3823200000006</v>
      </c>
      <c r="G194" s="28">
        <v>7266.33505</v>
      </c>
      <c r="H194" s="28">
        <f t="shared" si="39"/>
        <v>25466.199999999997</v>
      </c>
      <c r="I194" s="223">
        <v>8450.9</v>
      </c>
      <c r="J194" s="28">
        <v>8788.9</v>
      </c>
      <c r="K194" s="28">
        <v>8226.4</v>
      </c>
      <c r="L194" s="348"/>
      <c r="M194" s="348"/>
      <c r="N194" s="347"/>
      <c r="O194" s="347"/>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row>
    <row r="195" spans="1:15" ht="15" customHeight="1">
      <c r="A195" s="318" t="s">
        <v>47</v>
      </c>
      <c r="B195" s="318"/>
      <c r="C195" s="110">
        <f t="shared" si="53"/>
        <v>0</v>
      </c>
      <c r="D195" s="28">
        <v>0</v>
      </c>
      <c r="E195" s="28">
        <v>0</v>
      </c>
      <c r="F195" s="28">
        <v>0</v>
      </c>
      <c r="G195" s="28">
        <v>0</v>
      </c>
      <c r="H195" s="28">
        <f t="shared" si="39"/>
        <v>0</v>
      </c>
      <c r="I195" s="28">
        <v>0</v>
      </c>
      <c r="J195" s="28">
        <v>0</v>
      </c>
      <c r="K195" s="28">
        <v>0</v>
      </c>
      <c r="L195" s="348"/>
      <c r="M195" s="348"/>
      <c r="N195" s="347"/>
      <c r="O195" s="347"/>
    </row>
    <row r="196" spans="1:15" ht="15" customHeight="1">
      <c r="A196" s="318" t="s">
        <v>48</v>
      </c>
      <c r="B196" s="318"/>
      <c r="C196" s="110">
        <f t="shared" si="53"/>
        <v>0</v>
      </c>
      <c r="D196" s="28">
        <v>0</v>
      </c>
      <c r="E196" s="28">
        <v>0</v>
      </c>
      <c r="F196" s="28">
        <v>0</v>
      </c>
      <c r="G196" s="28">
        <v>0</v>
      </c>
      <c r="H196" s="28">
        <f t="shared" si="39"/>
        <v>0</v>
      </c>
      <c r="I196" s="28">
        <v>0</v>
      </c>
      <c r="J196" s="28">
        <v>0</v>
      </c>
      <c r="K196" s="28">
        <v>0</v>
      </c>
      <c r="L196" s="348"/>
      <c r="M196" s="348"/>
      <c r="N196" s="347"/>
      <c r="O196" s="347"/>
    </row>
    <row r="197" spans="1:15" ht="15" customHeight="1">
      <c r="A197" s="318" t="s">
        <v>49</v>
      </c>
      <c r="B197" s="318"/>
      <c r="C197" s="110">
        <f t="shared" si="53"/>
        <v>0</v>
      </c>
      <c r="D197" s="28">
        <v>0</v>
      </c>
      <c r="E197" s="28">
        <v>0</v>
      </c>
      <c r="F197" s="28">
        <v>0</v>
      </c>
      <c r="G197" s="28">
        <v>0</v>
      </c>
      <c r="H197" s="28">
        <f t="shared" si="39"/>
        <v>0</v>
      </c>
      <c r="I197" s="28">
        <v>0</v>
      </c>
      <c r="J197" s="28">
        <v>0</v>
      </c>
      <c r="K197" s="28">
        <v>0</v>
      </c>
      <c r="L197" s="348"/>
      <c r="M197" s="348"/>
      <c r="N197" s="347"/>
      <c r="O197" s="347"/>
    </row>
    <row r="198" spans="1:15" ht="104.25" customHeight="1">
      <c r="A198" s="353" t="s">
        <v>240</v>
      </c>
      <c r="B198" s="354"/>
      <c r="C198" s="157"/>
      <c r="D198" s="157"/>
      <c r="E198" s="157"/>
      <c r="F198" s="157"/>
      <c r="G198" s="157"/>
      <c r="H198" s="28"/>
      <c r="I198" s="157"/>
      <c r="J198" s="157"/>
      <c r="K198" s="157"/>
      <c r="L198" s="348" t="s">
        <v>222</v>
      </c>
      <c r="M198" s="348" t="s">
        <v>150</v>
      </c>
      <c r="N198" s="347"/>
      <c r="O198" s="347"/>
    </row>
    <row r="199" spans="1:15" ht="15" customHeight="1">
      <c r="A199" s="355" t="s">
        <v>52</v>
      </c>
      <c r="B199" s="355"/>
      <c r="C199" s="112">
        <f aca="true" t="shared" si="55" ref="C199:C204">SUM(E199:G199)</f>
        <v>5090</v>
      </c>
      <c r="D199" s="112">
        <f aca="true" t="shared" si="56" ref="D199:K199">D200+D201+D202+D203+D204</f>
        <v>2224</v>
      </c>
      <c r="E199" s="112">
        <f t="shared" si="56"/>
        <v>1300</v>
      </c>
      <c r="F199" s="112">
        <f t="shared" si="56"/>
        <v>1400</v>
      </c>
      <c r="G199" s="28">
        <f t="shared" si="56"/>
        <v>2390</v>
      </c>
      <c r="H199" s="28">
        <f t="shared" si="39"/>
        <v>2600</v>
      </c>
      <c r="I199" s="112">
        <f t="shared" si="56"/>
        <v>2600</v>
      </c>
      <c r="J199" s="112">
        <f t="shared" si="56"/>
        <v>0</v>
      </c>
      <c r="K199" s="112">
        <f t="shared" si="56"/>
        <v>0</v>
      </c>
      <c r="L199" s="348"/>
      <c r="M199" s="348"/>
      <c r="N199" s="347"/>
      <c r="O199" s="347"/>
    </row>
    <row r="200" spans="1:15" ht="15" customHeight="1">
      <c r="A200" s="355" t="s">
        <v>45</v>
      </c>
      <c r="B200" s="355"/>
      <c r="C200" s="112">
        <f t="shared" si="55"/>
        <v>0</v>
      </c>
      <c r="D200" s="112">
        <v>0</v>
      </c>
      <c r="E200" s="112">
        <v>0</v>
      </c>
      <c r="F200" s="112">
        <v>0</v>
      </c>
      <c r="G200" s="28">
        <v>0</v>
      </c>
      <c r="H200" s="28">
        <f t="shared" si="39"/>
        <v>0</v>
      </c>
      <c r="I200" s="112">
        <v>0</v>
      </c>
      <c r="J200" s="112">
        <v>0</v>
      </c>
      <c r="K200" s="112">
        <v>0</v>
      </c>
      <c r="L200" s="348"/>
      <c r="M200" s="348"/>
      <c r="N200" s="347"/>
      <c r="O200" s="347"/>
    </row>
    <row r="201" spans="1:15" ht="15" customHeight="1">
      <c r="A201" s="355" t="s">
        <v>54</v>
      </c>
      <c r="B201" s="355"/>
      <c r="C201" s="112">
        <f t="shared" si="55"/>
        <v>5090</v>
      </c>
      <c r="D201" s="112">
        <v>2224</v>
      </c>
      <c r="E201" s="112">
        <v>1300</v>
      </c>
      <c r="F201" s="112">
        <v>1400</v>
      </c>
      <c r="G201" s="28">
        <v>2390</v>
      </c>
      <c r="H201" s="28">
        <f t="shared" si="39"/>
        <v>2600</v>
      </c>
      <c r="I201" s="222">
        <v>2600</v>
      </c>
      <c r="J201" s="112">
        <v>0</v>
      </c>
      <c r="K201" s="112"/>
      <c r="L201" s="348"/>
      <c r="M201" s="348"/>
      <c r="N201" s="347"/>
      <c r="O201" s="347"/>
    </row>
    <row r="202" spans="1:15" ht="15" customHeight="1">
      <c r="A202" s="355" t="s">
        <v>47</v>
      </c>
      <c r="B202" s="355"/>
      <c r="C202" s="112">
        <f t="shared" si="55"/>
        <v>0</v>
      </c>
      <c r="D202" s="112">
        <v>0</v>
      </c>
      <c r="E202" s="112">
        <v>0</v>
      </c>
      <c r="F202" s="112">
        <v>0</v>
      </c>
      <c r="G202" s="28">
        <v>0</v>
      </c>
      <c r="H202" s="28">
        <f t="shared" si="39"/>
        <v>0</v>
      </c>
      <c r="I202" s="112">
        <v>0</v>
      </c>
      <c r="J202" s="112">
        <v>0</v>
      </c>
      <c r="K202" s="112">
        <v>0</v>
      </c>
      <c r="L202" s="348"/>
      <c r="M202" s="348"/>
      <c r="N202" s="347"/>
      <c r="O202" s="347"/>
    </row>
    <row r="203" spans="1:15" ht="15" customHeight="1">
      <c r="A203" s="355" t="s">
        <v>48</v>
      </c>
      <c r="B203" s="355"/>
      <c r="C203" s="112">
        <f t="shared" si="55"/>
        <v>0</v>
      </c>
      <c r="D203" s="112">
        <v>0</v>
      </c>
      <c r="E203" s="112">
        <v>0</v>
      </c>
      <c r="F203" s="112">
        <v>0</v>
      </c>
      <c r="G203" s="28">
        <v>0</v>
      </c>
      <c r="H203" s="28">
        <f t="shared" si="39"/>
        <v>0</v>
      </c>
      <c r="I203" s="112">
        <v>0</v>
      </c>
      <c r="J203" s="112">
        <v>0</v>
      </c>
      <c r="K203" s="112">
        <v>0</v>
      </c>
      <c r="L203" s="348"/>
      <c r="M203" s="348"/>
      <c r="N203" s="347"/>
      <c r="O203" s="347"/>
    </row>
    <row r="204" spans="1:15" ht="15" customHeight="1">
      <c r="A204" s="355" t="s">
        <v>49</v>
      </c>
      <c r="B204" s="355"/>
      <c r="C204" s="112">
        <f t="shared" si="55"/>
        <v>0</v>
      </c>
      <c r="D204" s="112">
        <v>0</v>
      </c>
      <c r="E204" s="112">
        <v>0</v>
      </c>
      <c r="F204" s="112">
        <v>0</v>
      </c>
      <c r="G204" s="28">
        <v>0</v>
      </c>
      <c r="H204" s="28">
        <f t="shared" si="39"/>
        <v>0</v>
      </c>
      <c r="I204" s="112">
        <v>0</v>
      </c>
      <c r="J204" s="112">
        <v>0</v>
      </c>
      <c r="K204" s="112">
        <v>0</v>
      </c>
      <c r="L204" s="348"/>
      <c r="M204" s="348"/>
      <c r="N204" s="347"/>
      <c r="O204" s="347"/>
    </row>
    <row r="205" spans="1:15" ht="84.75" customHeight="1">
      <c r="A205" s="362" t="s">
        <v>151</v>
      </c>
      <c r="B205" s="363"/>
      <c r="C205" s="149"/>
      <c r="D205" s="149"/>
      <c r="E205" s="149"/>
      <c r="F205" s="149"/>
      <c r="G205" s="149"/>
      <c r="H205" s="28"/>
      <c r="I205" s="149"/>
      <c r="J205" s="149"/>
      <c r="K205" s="149"/>
      <c r="L205" s="308"/>
      <c r="M205" s="308"/>
      <c r="N205" s="347"/>
      <c r="O205" s="347"/>
    </row>
    <row r="206" spans="1:15" ht="15" customHeight="1">
      <c r="A206" s="355" t="s">
        <v>52</v>
      </c>
      <c r="B206" s="355"/>
      <c r="C206" s="112">
        <f aca="true" t="shared" si="57" ref="C206:C211">SUM(E206:G206)</f>
        <v>502.9</v>
      </c>
      <c r="D206" s="112">
        <f aca="true" t="shared" si="58" ref="D206:K206">D207+D208+D209+D210+D211</f>
        <v>141.4</v>
      </c>
      <c r="E206" s="112">
        <f t="shared" si="58"/>
        <v>502.9</v>
      </c>
      <c r="F206" s="112">
        <f t="shared" si="58"/>
        <v>0</v>
      </c>
      <c r="G206" s="28">
        <f t="shared" si="58"/>
        <v>0</v>
      </c>
      <c r="H206" s="28">
        <f t="shared" si="39"/>
        <v>0</v>
      </c>
      <c r="I206" s="112">
        <f t="shared" si="58"/>
        <v>0</v>
      </c>
      <c r="J206" s="112">
        <f t="shared" si="58"/>
        <v>0</v>
      </c>
      <c r="K206" s="112">
        <f t="shared" si="58"/>
        <v>0</v>
      </c>
      <c r="L206" s="309"/>
      <c r="M206" s="309"/>
      <c r="N206" s="347"/>
      <c r="O206" s="347"/>
    </row>
    <row r="207" spans="1:15" ht="15" customHeight="1">
      <c r="A207" s="355" t="s">
        <v>45</v>
      </c>
      <c r="B207" s="355"/>
      <c r="C207" s="112">
        <f t="shared" si="57"/>
        <v>0</v>
      </c>
      <c r="D207" s="112">
        <v>0</v>
      </c>
      <c r="E207" s="112">
        <v>0</v>
      </c>
      <c r="F207" s="112">
        <v>0</v>
      </c>
      <c r="G207" s="28">
        <v>0</v>
      </c>
      <c r="H207" s="28">
        <f aca="true" t="shared" si="59" ref="H207:H270">I207+J207+K207</f>
        <v>0</v>
      </c>
      <c r="I207" s="112">
        <v>0</v>
      </c>
      <c r="J207" s="112">
        <v>0</v>
      </c>
      <c r="K207" s="112">
        <v>0</v>
      </c>
      <c r="L207" s="309"/>
      <c r="M207" s="309"/>
      <c r="N207" s="347"/>
      <c r="O207" s="347"/>
    </row>
    <row r="208" spans="1:15" ht="15" customHeight="1">
      <c r="A208" s="355" t="s">
        <v>46</v>
      </c>
      <c r="B208" s="355"/>
      <c r="C208" s="112">
        <f t="shared" si="57"/>
        <v>502.9</v>
      </c>
      <c r="D208" s="112">
        <v>141.4</v>
      </c>
      <c r="E208" s="112">
        <v>502.9</v>
      </c>
      <c r="F208" s="112">
        <v>0</v>
      </c>
      <c r="G208" s="28">
        <v>0</v>
      </c>
      <c r="H208" s="28">
        <f t="shared" si="59"/>
        <v>0</v>
      </c>
      <c r="I208" s="112">
        <v>0</v>
      </c>
      <c r="J208" s="112">
        <v>0</v>
      </c>
      <c r="K208" s="112"/>
      <c r="L208" s="309"/>
      <c r="M208" s="309"/>
      <c r="N208" s="347"/>
      <c r="O208" s="347"/>
    </row>
    <row r="209" spans="1:15" ht="15" customHeight="1">
      <c r="A209" s="355" t="s">
        <v>47</v>
      </c>
      <c r="B209" s="355"/>
      <c r="C209" s="112">
        <f t="shared" si="57"/>
        <v>0</v>
      </c>
      <c r="D209" s="112">
        <v>0</v>
      </c>
      <c r="E209" s="112">
        <v>0</v>
      </c>
      <c r="F209" s="112">
        <v>0</v>
      </c>
      <c r="G209" s="28">
        <v>0</v>
      </c>
      <c r="H209" s="28">
        <f t="shared" si="59"/>
        <v>0</v>
      </c>
      <c r="I209" s="112">
        <v>0</v>
      </c>
      <c r="J209" s="112">
        <v>0</v>
      </c>
      <c r="K209" s="112">
        <v>0</v>
      </c>
      <c r="L209" s="309"/>
      <c r="M209" s="309"/>
      <c r="N209" s="347"/>
      <c r="O209" s="347"/>
    </row>
    <row r="210" spans="1:15" ht="15" customHeight="1">
      <c r="A210" s="355" t="s">
        <v>48</v>
      </c>
      <c r="B210" s="355"/>
      <c r="C210" s="112">
        <f t="shared" si="57"/>
        <v>0</v>
      </c>
      <c r="D210" s="112">
        <v>0</v>
      </c>
      <c r="E210" s="112">
        <v>0</v>
      </c>
      <c r="F210" s="112">
        <v>0</v>
      </c>
      <c r="G210" s="28">
        <v>0</v>
      </c>
      <c r="H210" s="28">
        <f t="shared" si="59"/>
        <v>0</v>
      </c>
      <c r="I210" s="112">
        <v>0</v>
      </c>
      <c r="J210" s="112">
        <v>0</v>
      </c>
      <c r="K210" s="112">
        <v>0</v>
      </c>
      <c r="L210" s="309"/>
      <c r="M210" s="309"/>
      <c r="N210" s="347"/>
      <c r="O210" s="347"/>
    </row>
    <row r="211" spans="1:15" ht="15" customHeight="1">
      <c r="A211" s="355" t="s">
        <v>49</v>
      </c>
      <c r="B211" s="355"/>
      <c r="C211" s="112">
        <f t="shared" si="57"/>
        <v>0</v>
      </c>
      <c r="D211" s="112">
        <v>0</v>
      </c>
      <c r="E211" s="112">
        <v>0</v>
      </c>
      <c r="F211" s="112">
        <v>0</v>
      </c>
      <c r="G211" s="28">
        <v>0</v>
      </c>
      <c r="H211" s="28">
        <f t="shared" si="59"/>
        <v>0</v>
      </c>
      <c r="I211" s="112">
        <v>0</v>
      </c>
      <c r="J211" s="112">
        <v>0</v>
      </c>
      <c r="K211" s="112">
        <v>0</v>
      </c>
      <c r="L211" s="310"/>
      <c r="M211" s="310"/>
      <c r="N211" s="347"/>
      <c r="O211" s="347"/>
    </row>
    <row r="212" spans="1:15" ht="44.25" customHeight="1">
      <c r="A212" s="362" t="s">
        <v>242</v>
      </c>
      <c r="B212" s="363"/>
      <c r="C212" s="149"/>
      <c r="D212" s="149"/>
      <c r="E212" s="149"/>
      <c r="F212" s="149"/>
      <c r="G212" s="149"/>
      <c r="H212" s="28"/>
      <c r="I212" s="149"/>
      <c r="J212" s="149"/>
      <c r="K212" s="149"/>
      <c r="L212" s="308"/>
      <c r="M212" s="308"/>
      <c r="N212" s="311"/>
      <c r="O212" s="311"/>
    </row>
    <row r="213" spans="1:15" ht="15" customHeight="1">
      <c r="A213" s="355" t="s">
        <v>52</v>
      </c>
      <c r="B213" s="355"/>
      <c r="C213" s="112">
        <f aca="true" t="shared" si="60" ref="C213:C218">SUM(E213:G213)</f>
        <v>502.9</v>
      </c>
      <c r="D213" s="112">
        <f aca="true" t="shared" si="61" ref="D213:K213">D214+D215+D216+D217+D218</f>
        <v>141.4</v>
      </c>
      <c r="E213" s="112">
        <f t="shared" si="61"/>
        <v>502.9</v>
      </c>
      <c r="F213" s="112">
        <f t="shared" si="61"/>
        <v>0</v>
      </c>
      <c r="G213" s="28">
        <f t="shared" si="61"/>
        <v>0</v>
      </c>
      <c r="H213" s="28">
        <f t="shared" si="59"/>
        <v>0</v>
      </c>
      <c r="I213" s="112">
        <f t="shared" si="61"/>
        <v>0</v>
      </c>
      <c r="J213" s="112">
        <f t="shared" si="61"/>
        <v>0</v>
      </c>
      <c r="K213" s="112">
        <f t="shared" si="61"/>
        <v>0</v>
      </c>
      <c r="L213" s="309"/>
      <c r="M213" s="309"/>
      <c r="N213" s="312"/>
      <c r="O213" s="312"/>
    </row>
    <row r="214" spans="1:15" ht="15" customHeight="1">
      <c r="A214" s="355" t="s">
        <v>45</v>
      </c>
      <c r="B214" s="355"/>
      <c r="C214" s="112">
        <f t="shared" si="60"/>
        <v>0</v>
      </c>
      <c r="D214" s="112">
        <v>0</v>
      </c>
      <c r="E214" s="112">
        <v>0</v>
      </c>
      <c r="F214" s="112">
        <v>0</v>
      </c>
      <c r="G214" s="28">
        <v>0</v>
      </c>
      <c r="H214" s="28">
        <f t="shared" si="59"/>
        <v>0</v>
      </c>
      <c r="I214" s="112">
        <v>0</v>
      </c>
      <c r="J214" s="112">
        <v>0</v>
      </c>
      <c r="K214" s="112">
        <v>0</v>
      </c>
      <c r="L214" s="309"/>
      <c r="M214" s="309"/>
      <c r="N214" s="312"/>
      <c r="O214" s="312"/>
    </row>
    <row r="215" spans="1:15" ht="15" customHeight="1">
      <c r="A215" s="355" t="s">
        <v>46</v>
      </c>
      <c r="B215" s="355"/>
      <c r="C215" s="112">
        <f t="shared" si="60"/>
        <v>502.9</v>
      </c>
      <c r="D215" s="112">
        <v>141.4</v>
      </c>
      <c r="E215" s="112">
        <v>502.9</v>
      </c>
      <c r="F215" s="112">
        <v>0</v>
      </c>
      <c r="G215" s="28">
        <v>0</v>
      </c>
      <c r="H215" s="28">
        <f t="shared" si="59"/>
        <v>0</v>
      </c>
      <c r="I215" s="112">
        <v>0</v>
      </c>
      <c r="J215" s="112">
        <v>0</v>
      </c>
      <c r="K215" s="112"/>
      <c r="L215" s="309"/>
      <c r="M215" s="309"/>
      <c r="N215" s="312"/>
      <c r="O215" s="312"/>
    </row>
    <row r="216" spans="1:15" ht="15" customHeight="1">
      <c r="A216" s="355" t="s">
        <v>47</v>
      </c>
      <c r="B216" s="355"/>
      <c r="C216" s="112">
        <f t="shared" si="60"/>
        <v>0</v>
      </c>
      <c r="D216" s="112">
        <v>0</v>
      </c>
      <c r="E216" s="112">
        <v>0</v>
      </c>
      <c r="F216" s="112">
        <v>0</v>
      </c>
      <c r="G216" s="28">
        <v>0</v>
      </c>
      <c r="H216" s="28">
        <f t="shared" si="59"/>
        <v>0</v>
      </c>
      <c r="I216" s="112">
        <v>0</v>
      </c>
      <c r="J216" s="112">
        <v>0</v>
      </c>
      <c r="K216" s="112">
        <v>0</v>
      </c>
      <c r="L216" s="309"/>
      <c r="M216" s="309"/>
      <c r="N216" s="312"/>
      <c r="O216" s="312"/>
    </row>
    <row r="217" spans="1:15" ht="17.25" customHeight="1">
      <c r="A217" s="355" t="s">
        <v>48</v>
      </c>
      <c r="B217" s="355"/>
      <c r="C217" s="112">
        <f t="shared" si="60"/>
        <v>0</v>
      </c>
      <c r="D217" s="112">
        <v>0</v>
      </c>
      <c r="E217" s="112">
        <v>0</v>
      </c>
      <c r="F217" s="112">
        <v>0</v>
      </c>
      <c r="G217" s="28">
        <v>0</v>
      </c>
      <c r="H217" s="28">
        <f t="shared" si="59"/>
        <v>0</v>
      </c>
      <c r="I217" s="112">
        <v>0</v>
      </c>
      <c r="J217" s="112">
        <v>0</v>
      </c>
      <c r="K217" s="112">
        <v>0</v>
      </c>
      <c r="L217" s="309"/>
      <c r="M217" s="309"/>
      <c r="N217" s="312"/>
      <c r="O217" s="312"/>
    </row>
    <row r="218" spans="1:15" ht="24" customHeight="1">
      <c r="A218" s="355" t="s">
        <v>49</v>
      </c>
      <c r="B218" s="355"/>
      <c r="C218" s="112">
        <f t="shared" si="60"/>
        <v>0</v>
      </c>
      <c r="D218" s="112">
        <v>0</v>
      </c>
      <c r="E218" s="112">
        <v>0</v>
      </c>
      <c r="F218" s="112">
        <v>0</v>
      </c>
      <c r="G218" s="28">
        <v>0</v>
      </c>
      <c r="H218" s="28">
        <f t="shared" si="59"/>
        <v>0</v>
      </c>
      <c r="I218" s="112">
        <v>0</v>
      </c>
      <c r="J218" s="112">
        <v>0</v>
      </c>
      <c r="K218" s="112">
        <v>0</v>
      </c>
      <c r="L218" s="310"/>
      <c r="M218" s="310"/>
      <c r="N218" s="313"/>
      <c r="O218" s="313"/>
    </row>
    <row r="219" spans="1:15" ht="33" customHeight="1">
      <c r="A219" s="358" t="s">
        <v>9</v>
      </c>
      <c r="B219" s="359"/>
      <c r="C219" s="149"/>
      <c r="D219" s="149"/>
      <c r="E219" s="149"/>
      <c r="F219" s="149"/>
      <c r="G219" s="149"/>
      <c r="H219" s="28"/>
      <c r="I219" s="149"/>
      <c r="J219" s="149"/>
      <c r="K219" s="149"/>
      <c r="L219" s="348"/>
      <c r="M219" s="348"/>
      <c r="N219" s="315"/>
      <c r="O219" s="315"/>
    </row>
    <row r="220" spans="1:15" ht="15" customHeight="1">
      <c r="A220" s="355" t="s">
        <v>52</v>
      </c>
      <c r="B220" s="355"/>
      <c r="C220" s="112">
        <f aca="true" t="shared" si="62" ref="C220:C225">SUM(E220:G220)</f>
        <v>2403620.9492099998</v>
      </c>
      <c r="D220" s="112">
        <f aca="true" t="shared" si="63" ref="D220:G225">D227+D234+D241+D248+D255+D262</f>
        <v>662433.9826499999</v>
      </c>
      <c r="E220" s="112">
        <f t="shared" si="63"/>
        <v>684097.6972299998</v>
      </c>
      <c r="F220" s="112">
        <f t="shared" si="63"/>
        <v>818457.9029300001</v>
      </c>
      <c r="G220" s="28">
        <f t="shared" si="63"/>
        <v>901065.34905</v>
      </c>
      <c r="H220" s="28">
        <f t="shared" si="59"/>
        <v>2442474</v>
      </c>
      <c r="I220" s="112">
        <f aca="true" t="shared" si="64" ref="I220:K225">I227+I234+I241+I248+I255+I262</f>
        <v>908562.07</v>
      </c>
      <c r="J220" s="112">
        <f t="shared" si="64"/>
        <v>771034.53</v>
      </c>
      <c r="K220" s="112">
        <f t="shared" si="64"/>
        <v>762877.4</v>
      </c>
      <c r="L220" s="348"/>
      <c r="M220" s="348"/>
      <c r="N220" s="315"/>
      <c r="O220" s="315"/>
    </row>
    <row r="221" spans="1:15" ht="15" customHeight="1">
      <c r="A221" s="355" t="s">
        <v>45</v>
      </c>
      <c r="B221" s="355"/>
      <c r="C221" s="112">
        <f t="shared" si="62"/>
        <v>51433.562</v>
      </c>
      <c r="D221" s="112">
        <f t="shared" si="63"/>
        <v>15892.484</v>
      </c>
      <c r="E221" s="112">
        <f t="shared" si="63"/>
        <v>7115.062</v>
      </c>
      <c r="F221" s="112">
        <f t="shared" si="63"/>
        <v>6508.5</v>
      </c>
      <c r="G221" s="28">
        <f t="shared" si="63"/>
        <v>37810</v>
      </c>
      <c r="H221" s="28">
        <f t="shared" si="59"/>
        <v>49527.4</v>
      </c>
      <c r="I221" s="112">
        <f t="shared" si="64"/>
        <v>49527.4</v>
      </c>
      <c r="J221" s="112">
        <f t="shared" si="64"/>
        <v>0</v>
      </c>
      <c r="K221" s="112">
        <f t="shared" si="64"/>
        <v>0</v>
      </c>
      <c r="L221" s="348"/>
      <c r="M221" s="348"/>
      <c r="N221" s="315"/>
      <c r="O221" s="315"/>
    </row>
    <row r="222" spans="1:15" ht="15" customHeight="1">
      <c r="A222" s="355" t="s">
        <v>46</v>
      </c>
      <c r="B222" s="355"/>
      <c r="C222" s="112">
        <f t="shared" si="62"/>
        <v>2352108.4402099997</v>
      </c>
      <c r="D222" s="112">
        <f t="shared" si="63"/>
        <v>646397.2866499999</v>
      </c>
      <c r="E222" s="112">
        <f t="shared" si="63"/>
        <v>676903.6882299999</v>
      </c>
      <c r="F222" s="112">
        <f t="shared" si="63"/>
        <v>811949.4029300001</v>
      </c>
      <c r="G222" s="28">
        <f t="shared" si="63"/>
        <v>863255.34905</v>
      </c>
      <c r="H222" s="28">
        <f t="shared" si="59"/>
        <v>2392946.6</v>
      </c>
      <c r="I222" s="112">
        <f t="shared" si="64"/>
        <v>859034.67</v>
      </c>
      <c r="J222" s="112">
        <f t="shared" si="64"/>
        <v>771034.53</v>
      </c>
      <c r="K222" s="112">
        <f t="shared" si="64"/>
        <v>762877.4</v>
      </c>
      <c r="L222" s="348"/>
      <c r="M222" s="348"/>
      <c r="N222" s="315"/>
      <c r="O222" s="315"/>
    </row>
    <row r="223" spans="1:15" ht="15" customHeight="1">
      <c r="A223" s="355" t="s">
        <v>47</v>
      </c>
      <c r="B223" s="355"/>
      <c r="C223" s="112">
        <f t="shared" si="62"/>
        <v>78.947</v>
      </c>
      <c r="D223" s="112">
        <f t="shared" si="63"/>
        <v>144.212</v>
      </c>
      <c r="E223" s="112">
        <f t="shared" si="63"/>
        <v>78.947</v>
      </c>
      <c r="F223" s="112">
        <f t="shared" si="63"/>
        <v>0</v>
      </c>
      <c r="G223" s="28">
        <f t="shared" si="63"/>
        <v>0</v>
      </c>
      <c r="H223" s="28">
        <f t="shared" si="59"/>
        <v>0</v>
      </c>
      <c r="I223" s="112">
        <f t="shared" si="64"/>
        <v>0</v>
      </c>
      <c r="J223" s="112">
        <f t="shared" si="64"/>
        <v>0</v>
      </c>
      <c r="K223" s="112">
        <f t="shared" si="64"/>
        <v>0</v>
      </c>
      <c r="L223" s="348"/>
      <c r="M223" s="348"/>
      <c r="N223" s="315"/>
      <c r="O223" s="315"/>
    </row>
    <row r="224" spans="1:15" ht="15" customHeight="1">
      <c r="A224" s="355" t="s">
        <v>48</v>
      </c>
      <c r="B224" s="355"/>
      <c r="C224" s="112">
        <f t="shared" si="62"/>
        <v>0</v>
      </c>
      <c r="D224" s="112">
        <f t="shared" si="63"/>
        <v>0</v>
      </c>
      <c r="E224" s="112">
        <f t="shared" si="63"/>
        <v>0</v>
      </c>
      <c r="F224" s="112">
        <f t="shared" si="63"/>
        <v>0</v>
      </c>
      <c r="G224" s="28">
        <f t="shared" si="63"/>
        <v>0</v>
      </c>
      <c r="H224" s="28">
        <f t="shared" si="59"/>
        <v>0</v>
      </c>
      <c r="I224" s="112">
        <f t="shared" si="64"/>
        <v>0</v>
      </c>
      <c r="J224" s="112">
        <f t="shared" si="64"/>
        <v>0</v>
      </c>
      <c r="K224" s="112">
        <f t="shared" si="64"/>
        <v>0</v>
      </c>
      <c r="L224" s="348"/>
      <c r="M224" s="348"/>
      <c r="N224" s="315"/>
      <c r="O224" s="315"/>
    </row>
    <row r="225" spans="1:15" ht="15" customHeight="1">
      <c r="A225" s="355" t="s">
        <v>49</v>
      </c>
      <c r="B225" s="355"/>
      <c r="C225" s="112">
        <f t="shared" si="62"/>
        <v>0</v>
      </c>
      <c r="D225" s="112">
        <f t="shared" si="63"/>
        <v>0</v>
      </c>
      <c r="E225" s="112">
        <f t="shared" si="63"/>
        <v>0</v>
      </c>
      <c r="F225" s="112">
        <f t="shared" si="63"/>
        <v>0</v>
      </c>
      <c r="G225" s="28">
        <f t="shared" si="63"/>
        <v>0</v>
      </c>
      <c r="H225" s="28">
        <f t="shared" si="59"/>
        <v>0</v>
      </c>
      <c r="I225" s="112">
        <f t="shared" si="64"/>
        <v>0</v>
      </c>
      <c r="J225" s="112">
        <f t="shared" si="64"/>
        <v>0</v>
      </c>
      <c r="K225" s="112">
        <f t="shared" si="64"/>
        <v>0</v>
      </c>
      <c r="L225" s="348"/>
      <c r="M225" s="348"/>
      <c r="N225" s="315"/>
      <c r="O225" s="315"/>
    </row>
    <row r="226" spans="1:15" ht="22.5" customHeight="1">
      <c r="A226" s="362" t="s">
        <v>71</v>
      </c>
      <c r="B226" s="363"/>
      <c r="C226" s="149"/>
      <c r="D226" s="149"/>
      <c r="E226" s="149"/>
      <c r="F226" s="149"/>
      <c r="G226" s="149"/>
      <c r="H226" s="28"/>
      <c r="I226" s="149"/>
      <c r="J226" s="149"/>
      <c r="K226" s="149"/>
      <c r="L226" s="348" t="s">
        <v>232</v>
      </c>
      <c r="M226" s="348" t="s">
        <v>72</v>
      </c>
      <c r="N226" s="315" t="s">
        <v>268</v>
      </c>
      <c r="O226" s="315" t="s">
        <v>251</v>
      </c>
    </row>
    <row r="227" spans="1:15" ht="15" customHeight="1">
      <c r="A227" s="318" t="s">
        <v>52</v>
      </c>
      <c r="B227" s="318"/>
      <c r="C227" s="28">
        <f aca="true" t="shared" si="65" ref="C227:C232">SUM(E227:G227)</f>
        <v>2066046.31875</v>
      </c>
      <c r="D227" s="28">
        <f aca="true" t="shared" si="66" ref="D227:K227">D228+D229+D230+D231+D232</f>
        <v>579851.47965</v>
      </c>
      <c r="E227" s="28">
        <f t="shared" si="66"/>
        <v>644765.60372</v>
      </c>
      <c r="F227" s="28">
        <f t="shared" si="66"/>
        <v>685487.5947</v>
      </c>
      <c r="G227" s="28">
        <f t="shared" si="66"/>
        <v>735793.12033</v>
      </c>
      <c r="H227" s="28">
        <f t="shared" si="59"/>
        <v>2281539.87</v>
      </c>
      <c r="I227" s="28">
        <f t="shared" si="66"/>
        <v>763321.14</v>
      </c>
      <c r="J227" s="28">
        <f t="shared" si="66"/>
        <v>757187.93</v>
      </c>
      <c r="K227" s="28">
        <f t="shared" si="66"/>
        <v>761030.8</v>
      </c>
      <c r="L227" s="348"/>
      <c r="M227" s="348"/>
      <c r="N227" s="315"/>
      <c r="O227" s="315"/>
    </row>
    <row r="228" spans="1:15" ht="15" customHeight="1">
      <c r="A228" s="318" t="s">
        <v>45</v>
      </c>
      <c r="B228" s="318"/>
      <c r="C228" s="28">
        <f t="shared" si="65"/>
        <v>0</v>
      </c>
      <c r="D228" s="28">
        <v>0</v>
      </c>
      <c r="E228" s="28">
        <v>0</v>
      </c>
      <c r="F228" s="28">
        <v>0</v>
      </c>
      <c r="G228" s="28">
        <v>0</v>
      </c>
      <c r="H228" s="28">
        <f t="shared" si="59"/>
        <v>0</v>
      </c>
      <c r="I228" s="28">
        <v>0</v>
      </c>
      <c r="J228" s="28">
        <v>0</v>
      </c>
      <c r="K228" s="28">
        <v>0</v>
      </c>
      <c r="L228" s="348"/>
      <c r="M228" s="348"/>
      <c r="N228" s="315"/>
      <c r="O228" s="315"/>
    </row>
    <row r="229" spans="1:15" ht="15" customHeight="1">
      <c r="A229" s="318" t="s">
        <v>54</v>
      </c>
      <c r="B229" s="318"/>
      <c r="C229" s="28">
        <f t="shared" si="65"/>
        <v>2066046.31875</v>
      </c>
      <c r="D229" s="28">
        <v>579851.47965</v>
      </c>
      <c r="E229" s="28">
        <v>644765.60372</v>
      </c>
      <c r="F229" s="28">
        <v>685487.5947</v>
      </c>
      <c r="G229" s="28">
        <v>735793.12033</v>
      </c>
      <c r="H229" s="28">
        <f t="shared" si="59"/>
        <v>2281539.87</v>
      </c>
      <c r="I229" s="223">
        <v>763321.14</v>
      </c>
      <c r="J229" s="28">
        <f>757187.93</f>
        <v>757187.93</v>
      </c>
      <c r="K229" s="28">
        <v>761030.8</v>
      </c>
      <c r="L229" s="348"/>
      <c r="M229" s="348"/>
      <c r="N229" s="315"/>
      <c r="O229" s="315"/>
    </row>
    <row r="230" spans="1:15" ht="15" customHeight="1">
      <c r="A230" s="318" t="s">
        <v>47</v>
      </c>
      <c r="B230" s="318"/>
      <c r="C230" s="28">
        <f t="shared" si="65"/>
        <v>0</v>
      </c>
      <c r="D230" s="28">
        <v>0</v>
      </c>
      <c r="E230" s="28">
        <v>0</v>
      </c>
      <c r="F230" s="28">
        <v>0</v>
      </c>
      <c r="G230" s="28">
        <v>0</v>
      </c>
      <c r="H230" s="28">
        <f t="shared" si="59"/>
        <v>0</v>
      </c>
      <c r="I230" s="28">
        <v>0</v>
      </c>
      <c r="J230" s="28">
        <v>0</v>
      </c>
      <c r="K230" s="28">
        <v>0</v>
      </c>
      <c r="L230" s="348"/>
      <c r="M230" s="348"/>
      <c r="N230" s="315"/>
      <c r="O230" s="315"/>
    </row>
    <row r="231" spans="1:15" ht="15" customHeight="1">
      <c r="A231" s="318" t="s">
        <v>48</v>
      </c>
      <c r="B231" s="318"/>
      <c r="C231" s="28">
        <f t="shared" si="65"/>
        <v>0</v>
      </c>
      <c r="D231" s="28">
        <v>0</v>
      </c>
      <c r="E231" s="28">
        <v>0</v>
      </c>
      <c r="F231" s="28">
        <v>0</v>
      </c>
      <c r="G231" s="28">
        <v>0</v>
      </c>
      <c r="H231" s="28">
        <f t="shared" si="59"/>
        <v>0</v>
      </c>
      <c r="I231" s="28">
        <v>0</v>
      </c>
      <c r="J231" s="28">
        <v>0</v>
      </c>
      <c r="K231" s="28">
        <v>0</v>
      </c>
      <c r="L231" s="348"/>
      <c r="M231" s="348"/>
      <c r="N231" s="315"/>
      <c r="O231" s="315"/>
    </row>
    <row r="232" spans="1:15" ht="15" customHeight="1">
      <c r="A232" s="318" t="s">
        <v>49</v>
      </c>
      <c r="B232" s="318"/>
      <c r="C232" s="28">
        <f t="shared" si="65"/>
        <v>0</v>
      </c>
      <c r="D232" s="28">
        <v>0</v>
      </c>
      <c r="E232" s="28">
        <v>0</v>
      </c>
      <c r="F232" s="28">
        <v>0</v>
      </c>
      <c r="G232" s="28">
        <v>0</v>
      </c>
      <c r="H232" s="28">
        <f t="shared" si="59"/>
        <v>0</v>
      </c>
      <c r="I232" s="28">
        <v>0</v>
      </c>
      <c r="J232" s="28">
        <v>0</v>
      </c>
      <c r="K232" s="28">
        <v>0</v>
      </c>
      <c r="L232" s="348"/>
      <c r="M232" s="348"/>
      <c r="N232" s="315"/>
      <c r="O232" s="315"/>
    </row>
    <row r="233" spans="1:15" ht="36" customHeight="1">
      <c r="A233" s="353" t="s">
        <v>73</v>
      </c>
      <c r="B233" s="354"/>
      <c r="C233" s="157"/>
      <c r="D233" s="157"/>
      <c r="E233" s="157"/>
      <c r="F233" s="157"/>
      <c r="G233" s="157"/>
      <c r="H233" s="28"/>
      <c r="I233" s="157"/>
      <c r="J233" s="157"/>
      <c r="K233" s="157"/>
      <c r="L233" s="348" t="s">
        <v>230</v>
      </c>
      <c r="M233" s="348" t="s">
        <v>72</v>
      </c>
      <c r="N233" s="347"/>
      <c r="O233" s="347"/>
    </row>
    <row r="234" spans="1:15" ht="15" customHeight="1">
      <c r="A234" s="318" t="s">
        <v>52</v>
      </c>
      <c r="B234" s="318"/>
      <c r="C234" s="28">
        <f aca="true" t="shared" si="67" ref="C234:C239">SUM(E234:G234)</f>
        <v>52880.89744</v>
      </c>
      <c r="D234" s="28">
        <f aca="true" t="shared" si="68" ref="D234:K234">D235+D236+D237+D238+D239</f>
        <v>20296.967</v>
      </c>
      <c r="E234" s="28">
        <f t="shared" si="68"/>
        <v>7815.21321</v>
      </c>
      <c r="F234" s="28">
        <f t="shared" si="68"/>
        <v>31284.08423</v>
      </c>
      <c r="G234" s="28">
        <f t="shared" si="68"/>
        <v>13781.6</v>
      </c>
      <c r="H234" s="28">
        <f t="shared" si="59"/>
        <v>50941.729999999996</v>
      </c>
      <c r="I234" s="28">
        <f t="shared" si="68"/>
        <v>47248.53</v>
      </c>
      <c r="J234" s="28">
        <f t="shared" si="68"/>
        <v>1846.6</v>
      </c>
      <c r="K234" s="28">
        <f t="shared" si="68"/>
        <v>1846.6</v>
      </c>
      <c r="L234" s="348"/>
      <c r="M234" s="348"/>
      <c r="N234" s="347"/>
      <c r="O234" s="347"/>
    </row>
    <row r="235" spans="1:15" ht="15" customHeight="1">
      <c r="A235" s="318" t="s">
        <v>45</v>
      </c>
      <c r="B235" s="318"/>
      <c r="C235" s="28">
        <f t="shared" si="67"/>
        <v>0</v>
      </c>
      <c r="D235" s="28">
        <v>0</v>
      </c>
      <c r="E235" s="28">
        <v>0</v>
      </c>
      <c r="F235" s="28">
        <v>0</v>
      </c>
      <c r="G235" s="28">
        <v>0</v>
      </c>
      <c r="H235" s="28">
        <f t="shared" si="59"/>
        <v>0</v>
      </c>
      <c r="I235" s="28">
        <v>0</v>
      </c>
      <c r="J235" s="28">
        <v>0</v>
      </c>
      <c r="K235" s="28">
        <v>0</v>
      </c>
      <c r="L235" s="348"/>
      <c r="M235" s="348"/>
      <c r="N235" s="347"/>
      <c r="O235" s="347"/>
    </row>
    <row r="236" spans="1:15" ht="15" customHeight="1">
      <c r="A236" s="318" t="s">
        <v>54</v>
      </c>
      <c r="B236" s="318"/>
      <c r="C236" s="28">
        <f t="shared" si="67"/>
        <v>52880.89744</v>
      </c>
      <c r="D236" s="28">
        <v>20296.967</v>
      </c>
      <c r="E236" s="28">
        <v>7815.21321</v>
      </c>
      <c r="F236" s="28">
        <v>31284.08423</v>
      </c>
      <c r="G236" s="28">
        <v>13781.6</v>
      </c>
      <c r="H236" s="28">
        <f t="shared" si="59"/>
        <v>50941.729999999996</v>
      </c>
      <c r="I236" s="223">
        <v>47248.53</v>
      </c>
      <c r="J236" s="28">
        <v>1846.6</v>
      </c>
      <c r="K236" s="28">
        <v>1846.6</v>
      </c>
      <c r="L236" s="348"/>
      <c r="M236" s="348"/>
      <c r="N236" s="347"/>
      <c r="O236" s="347"/>
    </row>
    <row r="237" spans="1:15" ht="15" customHeight="1">
      <c r="A237" s="318" t="s">
        <v>47</v>
      </c>
      <c r="B237" s="318"/>
      <c r="C237" s="28">
        <f t="shared" si="67"/>
        <v>0</v>
      </c>
      <c r="D237" s="28">
        <v>0</v>
      </c>
      <c r="E237" s="28">
        <v>0</v>
      </c>
      <c r="F237" s="28">
        <v>0</v>
      </c>
      <c r="G237" s="28">
        <v>0</v>
      </c>
      <c r="H237" s="28">
        <f t="shared" si="59"/>
        <v>0</v>
      </c>
      <c r="I237" s="28">
        <v>0</v>
      </c>
      <c r="J237" s="28">
        <v>0</v>
      </c>
      <c r="K237" s="28">
        <v>0</v>
      </c>
      <c r="L237" s="348"/>
      <c r="M237" s="348"/>
      <c r="N237" s="347"/>
      <c r="O237" s="347"/>
    </row>
    <row r="238" spans="1:15" ht="15" customHeight="1">
      <c r="A238" s="318" t="s">
        <v>48</v>
      </c>
      <c r="B238" s="318"/>
      <c r="C238" s="28">
        <f t="shared" si="67"/>
        <v>0</v>
      </c>
      <c r="D238" s="28">
        <v>0</v>
      </c>
      <c r="E238" s="28">
        <v>0</v>
      </c>
      <c r="F238" s="28">
        <v>0</v>
      </c>
      <c r="G238" s="28">
        <v>0</v>
      </c>
      <c r="H238" s="28">
        <f t="shared" si="59"/>
        <v>0</v>
      </c>
      <c r="I238" s="28">
        <v>0</v>
      </c>
      <c r="J238" s="28">
        <v>0</v>
      </c>
      <c r="K238" s="28">
        <v>0</v>
      </c>
      <c r="L238" s="348"/>
      <c r="M238" s="348"/>
      <c r="N238" s="347"/>
      <c r="O238" s="347"/>
    </row>
    <row r="239" spans="1:15" ht="15" customHeight="1">
      <c r="A239" s="318" t="s">
        <v>49</v>
      </c>
      <c r="B239" s="318"/>
      <c r="C239" s="28">
        <f t="shared" si="67"/>
        <v>0</v>
      </c>
      <c r="D239" s="28">
        <v>0</v>
      </c>
      <c r="E239" s="28">
        <v>0</v>
      </c>
      <c r="F239" s="28">
        <v>0</v>
      </c>
      <c r="G239" s="28">
        <v>0</v>
      </c>
      <c r="H239" s="28">
        <f t="shared" si="59"/>
        <v>0</v>
      </c>
      <c r="I239" s="28">
        <v>0</v>
      </c>
      <c r="J239" s="28">
        <v>0</v>
      </c>
      <c r="K239" s="28">
        <v>0</v>
      </c>
      <c r="L239" s="348"/>
      <c r="M239" s="348"/>
      <c r="N239" s="347"/>
      <c r="O239" s="347"/>
    </row>
    <row r="240" spans="1:15" ht="45.75" customHeight="1">
      <c r="A240" s="353" t="s">
        <v>253</v>
      </c>
      <c r="B240" s="354"/>
      <c r="C240" s="157"/>
      <c r="D240" s="157"/>
      <c r="E240" s="157"/>
      <c r="F240" s="157"/>
      <c r="G240" s="157"/>
      <c r="H240" s="28"/>
      <c r="I240" s="157"/>
      <c r="J240" s="157"/>
      <c r="K240" s="157"/>
      <c r="L240" s="348" t="s">
        <v>233</v>
      </c>
      <c r="M240" s="308" t="s">
        <v>152</v>
      </c>
      <c r="N240" s="311"/>
      <c r="O240" s="311"/>
    </row>
    <row r="241" spans="1:15" ht="15" customHeight="1">
      <c r="A241" s="355" t="s">
        <v>52</v>
      </c>
      <c r="B241" s="355"/>
      <c r="C241" s="112">
        <f aca="true" t="shared" si="69" ref="C241:C246">SUM(E241:G241)</f>
        <v>254262.6000199999</v>
      </c>
      <c r="D241" s="112">
        <f aca="true" t="shared" si="70" ref="D241:K241">SUM(D242:D246)</f>
        <v>46248.84</v>
      </c>
      <c r="E241" s="112">
        <f t="shared" si="70"/>
        <v>24322.8712999999</v>
      </c>
      <c r="F241" s="112">
        <f t="shared" si="70"/>
        <v>91299.4</v>
      </c>
      <c r="G241" s="28">
        <f t="shared" si="70"/>
        <v>138640.32872</v>
      </c>
      <c r="H241" s="28">
        <f t="shared" si="59"/>
        <v>72807.7</v>
      </c>
      <c r="I241" s="112">
        <f t="shared" si="70"/>
        <v>72807.7</v>
      </c>
      <c r="J241" s="112">
        <f t="shared" si="70"/>
        <v>0</v>
      </c>
      <c r="K241" s="112">
        <f t="shared" si="70"/>
        <v>0</v>
      </c>
      <c r="L241" s="348"/>
      <c r="M241" s="309"/>
      <c r="N241" s="312"/>
      <c r="O241" s="312"/>
    </row>
    <row r="242" spans="1:15" ht="15" customHeight="1">
      <c r="A242" s="355" t="s">
        <v>45</v>
      </c>
      <c r="B242" s="355"/>
      <c r="C242" s="112">
        <f t="shared" si="69"/>
        <v>28737.7</v>
      </c>
      <c r="D242" s="112">
        <v>0</v>
      </c>
      <c r="E242" s="112">
        <v>0</v>
      </c>
      <c r="F242" s="112">
        <v>0</v>
      </c>
      <c r="G242" s="28">
        <v>28737.7</v>
      </c>
      <c r="H242" s="28">
        <f t="shared" si="59"/>
        <v>28737.7</v>
      </c>
      <c r="I242" s="224">
        <v>28737.7</v>
      </c>
      <c r="J242" s="112">
        <v>0</v>
      </c>
      <c r="K242" s="112">
        <v>0</v>
      </c>
      <c r="L242" s="348"/>
      <c r="M242" s="309"/>
      <c r="N242" s="312"/>
      <c r="O242" s="312"/>
    </row>
    <row r="243" spans="1:15" ht="15" customHeight="1">
      <c r="A243" s="355" t="s">
        <v>46</v>
      </c>
      <c r="B243" s="355"/>
      <c r="C243" s="112">
        <f t="shared" si="69"/>
        <v>225524.90001999988</v>
      </c>
      <c r="D243" s="112">
        <v>46248.84</v>
      </c>
      <c r="E243" s="112">
        <v>24322.8712999999</v>
      </c>
      <c r="F243" s="135">
        <v>91299.4</v>
      </c>
      <c r="G243" s="28">
        <v>109902.62872</v>
      </c>
      <c r="H243" s="28">
        <f t="shared" si="59"/>
        <v>44070</v>
      </c>
      <c r="I243" s="222">
        <v>44070</v>
      </c>
      <c r="J243" s="112">
        <v>0</v>
      </c>
      <c r="K243" s="112"/>
      <c r="L243" s="348"/>
      <c r="M243" s="309"/>
      <c r="N243" s="312"/>
      <c r="O243" s="312"/>
    </row>
    <row r="244" spans="1:15" ht="15" customHeight="1">
      <c r="A244" s="355" t="s">
        <v>47</v>
      </c>
      <c r="B244" s="355"/>
      <c r="C244" s="112">
        <f t="shared" si="69"/>
        <v>0</v>
      </c>
      <c r="D244" s="112">
        <v>0</v>
      </c>
      <c r="E244" s="112">
        <v>0</v>
      </c>
      <c r="F244" s="112">
        <v>0</v>
      </c>
      <c r="G244" s="28">
        <v>0</v>
      </c>
      <c r="H244" s="28">
        <f t="shared" si="59"/>
        <v>0</v>
      </c>
      <c r="I244" s="112">
        <v>0</v>
      </c>
      <c r="J244" s="112">
        <v>0</v>
      </c>
      <c r="K244" s="112">
        <v>0</v>
      </c>
      <c r="L244" s="348"/>
      <c r="M244" s="309"/>
      <c r="N244" s="312"/>
      <c r="O244" s="312"/>
    </row>
    <row r="245" spans="1:15" ht="15" customHeight="1">
      <c r="A245" s="355" t="s">
        <v>48</v>
      </c>
      <c r="B245" s="355"/>
      <c r="C245" s="112">
        <f t="shared" si="69"/>
        <v>0</v>
      </c>
      <c r="D245" s="112">
        <v>0</v>
      </c>
      <c r="E245" s="112">
        <v>0</v>
      </c>
      <c r="F245" s="112">
        <v>0</v>
      </c>
      <c r="G245" s="28">
        <v>0</v>
      </c>
      <c r="H245" s="28">
        <f t="shared" si="59"/>
        <v>0</v>
      </c>
      <c r="I245" s="112">
        <v>0</v>
      </c>
      <c r="J245" s="112">
        <v>0</v>
      </c>
      <c r="K245" s="112">
        <v>0</v>
      </c>
      <c r="L245" s="348"/>
      <c r="M245" s="309"/>
      <c r="N245" s="312"/>
      <c r="O245" s="312"/>
    </row>
    <row r="246" spans="1:15" ht="15" customHeight="1">
      <c r="A246" s="355" t="s">
        <v>49</v>
      </c>
      <c r="B246" s="355"/>
      <c r="C246" s="112">
        <f t="shared" si="69"/>
        <v>0</v>
      </c>
      <c r="D246" s="112">
        <v>0</v>
      </c>
      <c r="E246" s="112">
        <v>0</v>
      </c>
      <c r="F246" s="112">
        <v>0</v>
      </c>
      <c r="G246" s="28">
        <v>0</v>
      </c>
      <c r="H246" s="28">
        <f t="shared" si="59"/>
        <v>0</v>
      </c>
      <c r="I246" s="112">
        <v>0</v>
      </c>
      <c r="J246" s="112">
        <v>0</v>
      </c>
      <c r="K246" s="112">
        <v>0</v>
      </c>
      <c r="L246" s="348"/>
      <c r="M246" s="309"/>
      <c r="N246" s="312"/>
      <c r="O246" s="312"/>
    </row>
    <row r="247" spans="1:15" ht="60.75" customHeight="1">
      <c r="A247" s="362" t="s">
        <v>241</v>
      </c>
      <c r="B247" s="363"/>
      <c r="C247" s="149"/>
      <c r="D247" s="149"/>
      <c r="E247" s="149"/>
      <c r="F247" s="149"/>
      <c r="G247" s="149"/>
      <c r="H247" s="28"/>
      <c r="I247" s="149"/>
      <c r="J247" s="149"/>
      <c r="K247" s="149"/>
      <c r="L247" s="348" t="s">
        <v>221</v>
      </c>
      <c r="M247" s="436"/>
      <c r="N247" s="347"/>
      <c r="O247" s="347"/>
    </row>
    <row r="248" spans="1:15" ht="15" customHeight="1">
      <c r="A248" s="355" t="s">
        <v>52</v>
      </c>
      <c r="B248" s="355"/>
      <c r="C248" s="112">
        <f aca="true" t="shared" si="71" ref="C248:C253">SUM(E248:G248)</f>
        <v>30231.132999999998</v>
      </c>
      <c r="D248" s="112">
        <f aca="true" t="shared" si="72" ref="D248:K248">SUM(D249:D253)</f>
        <v>8018.348</v>
      </c>
      <c r="E248" s="112">
        <f t="shared" si="72"/>
        <v>7194.009</v>
      </c>
      <c r="F248" s="112">
        <f t="shared" si="72"/>
        <v>10236.824</v>
      </c>
      <c r="G248" s="28">
        <f t="shared" si="72"/>
        <v>12800.3</v>
      </c>
      <c r="H248" s="28">
        <f t="shared" si="59"/>
        <v>25089.7</v>
      </c>
      <c r="I248" s="112">
        <f t="shared" si="72"/>
        <v>25089.7</v>
      </c>
      <c r="J248" s="112">
        <f t="shared" si="72"/>
        <v>0</v>
      </c>
      <c r="K248" s="112">
        <f t="shared" si="72"/>
        <v>0</v>
      </c>
      <c r="L248" s="348"/>
      <c r="M248" s="437"/>
      <c r="N248" s="347"/>
      <c r="O248" s="347"/>
    </row>
    <row r="249" spans="1:15" ht="15" customHeight="1">
      <c r="A249" s="355" t="s">
        <v>45</v>
      </c>
      <c r="B249" s="355"/>
      <c r="C249" s="112">
        <f t="shared" si="71"/>
        <v>22695.862</v>
      </c>
      <c r="D249" s="112">
        <v>7946.242</v>
      </c>
      <c r="E249" s="112">
        <v>7115.062</v>
      </c>
      <c r="F249" s="134">
        <v>6508.5</v>
      </c>
      <c r="G249" s="28">
        <v>9072.3</v>
      </c>
      <c r="H249" s="28">
        <f t="shared" si="59"/>
        <v>20789.7</v>
      </c>
      <c r="I249" s="112">
        <v>20789.7</v>
      </c>
      <c r="J249" s="112">
        <v>0</v>
      </c>
      <c r="K249" s="112">
        <v>0</v>
      </c>
      <c r="L249" s="348"/>
      <c r="M249" s="437"/>
      <c r="N249" s="347"/>
      <c r="O249" s="347"/>
    </row>
    <row r="250" spans="1:15" ht="15" customHeight="1">
      <c r="A250" s="355" t="s">
        <v>46</v>
      </c>
      <c r="B250" s="355"/>
      <c r="C250" s="112">
        <f t="shared" si="71"/>
        <v>7456.3240000000005</v>
      </c>
      <c r="D250" s="112">
        <v>0</v>
      </c>
      <c r="E250" s="112">
        <v>0</v>
      </c>
      <c r="F250" s="134">
        <v>3728.324</v>
      </c>
      <c r="G250" s="28">
        <v>3728</v>
      </c>
      <c r="H250" s="28">
        <f t="shared" si="59"/>
        <v>4300</v>
      </c>
      <c r="I250" s="112">
        <v>4300</v>
      </c>
      <c r="J250" s="112">
        <v>0</v>
      </c>
      <c r="K250" s="112">
        <v>0</v>
      </c>
      <c r="L250" s="348"/>
      <c r="M250" s="437"/>
      <c r="N250" s="347"/>
      <c r="O250" s="347"/>
    </row>
    <row r="251" spans="1:15" ht="15" customHeight="1">
      <c r="A251" s="355" t="s">
        <v>47</v>
      </c>
      <c r="B251" s="355"/>
      <c r="C251" s="112">
        <f t="shared" si="71"/>
        <v>78.947</v>
      </c>
      <c r="D251" s="112">
        <v>72.106</v>
      </c>
      <c r="E251" s="112">
        <v>78.947</v>
      </c>
      <c r="F251" s="112">
        <v>0</v>
      </c>
      <c r="G251" s="28">
        <v>0</v>
      </c>
      <c r="H251" s="28">
        <f t="shared" si="59"/>
        <v>0</v>
      </c>
      <c r="I251" s="112">
        <v>0</v>
      </c>
      <c r="J251" s="112">
        <v>0</v>
      </c>
      <c r="K251" s="112">
        <v>0</v>
      </c>
      <c r="L251" s="348"/>
      <c r="M251" s="437"/>
      <c r="N251" s="347"/>
      <c r="O251" s="347"/>
    </row>
    <row r="252" spans="1:15" ht="15" customHeight="1">
      <c r="A252" s="355" t="s">
        <v>48</v>
      </c>
      <c r="B252" s="355"/>
      <c r="C252" s="112">
        <f t="shared" si="71"/>
        <v>0</v>
      </c>
      <c r="D252" s="112">
        <v>0</v>
      </c>
      <c r="E252" s="112">
        <v>0</v>
      </c>
      <c r="F252" s="112">
        <v>0</v>
      </c>
      <c r="G252" s="28">
        <v>0</v>
      </c>
      <c r="H252" s="28">
        <f t="shared" si="59"/>
        <v>0</v>
      </c>
      <c r="I252" s="112">
        <v>0</v>
      </c>
      <c r="J252" s="112">
        <v>0</v>
      </c>
      <c r="K252" s="112">
        <v>0</v>
      </c>
      <c r="L252" s="348"/>
      <c r="M252" s="437"/>
      <c r="N252" s="347"/>
      <c r="O252" s="347"/>
    </row>
    <row r="253" spans="1:15" ht="18.75" customHeight="1">
      <c r="A253" s="355" t="s">
        <v>49</v>
      </c>
      <c r="B253" s="355"/>
      <c r="C253" s="112">
        <f t="shared" si="71"/>
        <v>0</v>
      </c>
      <c r="D253" s="112">
        <v>0</v>
      </c>
      <c r="E253" s="112">
        <v>0</v>
      </c>
      <c r="F253" s="112">
        <v>0</v>
      </c>
      <c r="G253" s="28">
        <v>0</v>
      </c>
      <c r="H253" s="28">
        <f t="shared" si="59"/>
        <v>0</v>
      </c>
      <c r="I253" s="112">
        <v>0</v>
      </c>
      <c r="J253" s="112">
        <v>0</v>
      </c>
      <c r="K253" s="112">
        <v>0</v>
      </c>
      <c r="L253" s="348"/>
      <c r="M253" s="437"/>
      <c r="N253" s="347"/>
      <c r="O253" s="347"/>
    </row>
    <row r="254" spans="1:15" ht="41.25" customHeight="1">
      <c r="A254" s="368" t="s">
        <v>379</v>
      </c>
      <c r="B254" s="369"/>
      <c r="C254" s="149"/>
      <c r="D254" s="149"/>
      <c r="E254" s="149"/>
      <c r="F254" s="149"/>
      <c r="G254" s="149"/>
      <c r="H254" s="28"/>
      <c r="I254" s="149"/>
      <c r="J254" s="149"/>
      <c r="K254" s="149"/>
      <c r="L254" s="348"/>
      <c r="M254" s="436"/>
      <c r="N254" s="315"/>
      <c r="O254" s="315"/>
    </row>
    <row r="255" spans="1:15" ht="15" customHeight="1">
      <c r="A255" s="355" t="s">
        <v>52</v>
      </c>
      <c r="B255" s="355"/>
      <c r="C255" s="112">
        <f aca="true" t="shared" si="73" ref="C255:C260">SUM(E255:G255)</f>
        <v>150</v>
      </c>
      <c r="D255" s="112">
        <f aca="true" t="shared" si="74" ref="D255:K255">SUM(D256:D260)</f>
        <v>8018.348</v>
      </c>
      <c r="E255" s="112">
        <f t="shared" si="74"/>
        <v>0</v>
      </c>
      <c r="F255" s="112">
        <f t="shared" si="74"/>
        <v>150</v>
      </c>
      <c r="G255" s="28">
        <f t="shared" si="74"/>
        <v>0</v>
      </c>
      <c r="H255" s="28">
        <f t="shared" si="59"/>
        <v>12000</v>
      </c>
      <c r="I255" s="112">
        <f t="shared" si="74"/>
        <v>0</v>
      </c>
      <c r="J255" s="112">
        <f t="shared" si="74"/>
        <v>12000</v>
      </c>
      <c r="K255" s="112">
        <f t="shared" si="74"/>
        <v>0</v>
      </c>
      <c r="L255" s="348"/>
      <c r="M255" s="437"/>
      <c r="N255" s="315"/>
      <c r="O255" s="315"/>
    </row>
    <row r="256" spans="1:15" ht="15" customHeight="1">
      <c r="A256" s="355" t="s">
        <v>45</v>
      </c>
      <c r="B256" s="355"/>
      <c r="C256" s="112">
        <f t="shared" si="73"/>
        <v>0</v>
      </c>
      <c r="D256" s="112">
        <v>7946.242</v>
      </c>
      <c r="E256" s="112">
        <v>0</v>
      </c>
      <c r="F256" s="112">
        <v>0</v>
      </c>
      <c r="G256" s="28">
        <v>0</v>
      </c>
      <c r="H256" s="28">
        <f t="shared" si="59"/>
        <v>0</v>
      </c>
      <c r="I256" s="112">
        <v>0</v>
      </c>
      <c r="J256" s="112">
        <v>0</v>
      </c>
      <c r="K256" s="112">
        <v>0</v>
      </c>
      <c r="L256" s="348"/>
      <c r="M256" s="437"/>
      <c r="N256" s="315"/>
      <c r="O256" s="315"/>
    </row>
    <row r="257" spans="1:15" ht="15" customHeight="1">
      <c r="A257" s="355" t="s">
        <v>46</v>
      </c>
      <c r="B257" s="355"/>
      <c r="C257" s="112">
        <f t="shared" si="73"/>
        <v>150</v>
      </c>
      <c r="D257" s="112">
        <v>0</v>
      </c>
      <c r="E257" s="112">
        <v>0</v>
      </c>
      <c r="F257" s="112">
        <v>150</v>
      </c>
      <c r="G257" s="28">
        <v>0</v>
      </c>
      <c r="H257" s="28">
        <f t="shared" si="59"/>
        <v>12000</v>
      </c>
      <c r="I257" s="112">
        <v>0</v>
      </c>
      <c r="J257" s="199">
        <v>12000</v>
      </c>
      <c r="K257" s="112">
        <v>0</v>
      </c>
      <c r="L257" s="348"/>
      <c r="M257" s="437"/>
      <c r="N257" s="315"/>
      <c r="O257" s="315"/>
    </row>
    <row r="258" spans="1:15" ht="15" customHeight="1">
      <c r="A258" s="355" t="s">
        <v>47</v>
      </c>
      <c r="B258" s="355"/>
      <c r="C258" s="112">
        <f t="shared" si="73"/>
        <v>0</v>
      </c>
      <c r="D258" s="112">
        <v>72.106</v>
      </c>
      <c r="E258" s="112">
        <v>0</v>
      </c>
      <c r="F258" s="112">
        <v>0</v>
      </c>
      <c r="G258" s="28">
        <v>0</v>
      </c>
      <c r="H258" s="28">
        <f t="shared" si="59"/>
        <v>0</v>
      </c>
      <c r="I258" s="112">
        <v>0</v>
      </c>
      <c r="J258" s="112">
        <v>0</v>
      </c>
      <c r="K258" s="112">
        <v>0</v>
      </c>
      <c r="L258" s="348"/>
      <c r="M258" s="437"/>
      <c r="N258" s="315"/>
      <c r="O258" s="315"/>
    </row>
    <row r="259" spans="1:15" ht="15" customHeight="1">
      <c r="A259" s="355" t="s">
        <v>48</v>
      </c>
      <c r="B259" s="355"/>
      <c r="C259" s="112">
        <f t="shared" si="73"/>
        <v>0</v>
      </c>
      <c r="D259" s="112">
        <v>0</v>
      </c>
      <c r="E259" s="112">
        <v>0</v>
      </c>
      <c r="F259" s="112">
        <v>0</v>
      </c>
      <c r="G259" s="28">
        <v>0</v>
      </c>
      <c r="H259" s="28">
        <f t="shared" si="59"/>
        <v>0</v>
      </c>
      <c r="I259" s="112">
        <v>0</v>
      </c>
      <c r="J259" s="112">
        <v>0</v>
      </c>
      <c r="K259" s="112">
        <v>0</v>
      </c>
      <c r="L259" s="348"/>
      <c r="M259" s="437"/>
      <c r="N259" s="315"/>
      <c r="O259" s="315"/>
    </row>
    <row r="260" spans="1:15" ht="18.75" customHeight="1">
      <c r="A260" s="355" t="s">
        <v>49</v>
      </c>
      <c r="B260" s="355"/>
      <c r="C260" s="112">
        <f t="shared" si="73"/>
        <v>0</v>
      </c>
      <c r="D260" s="112">
        <v>0</v>
      </c>
      <c r="E260" s="112">
        <v>0</v>
      </c>
      <c r="F260" s="112">
        <v>0</v>
      </c>
      <c r="G260" s="28">
        <v>0</v>
      </c>
      <c r="H260" s="28">
        <f t="shared" si="59"/>
        <v>0</v>
      </c>
      <c r="I260" s="112">
        <v>0</v>
      </c>
      <c r="J260" s="112">
        <v>0</v>
      </c>
      <c r="K260" s="112">
        <v>0</v>
      </c>
      <c r="L260" s="348"/>
      <c r="M260" s="437"/>
      <c r="N260" s="315"/>
      <c r="O260" s="315"/>
    </row>
    <row r="261" spans="1:42" s="105" customFormat="1" ht="46.5" customHeight="1">
      <c r="A261" s="353" t="s">
        <v>234</v>
      </c>
      <c r="B261" s="354"/>
      <c r="C261" s="157"/>
      <c r="D261" s="157"/>
      <c r="E261" s="157"/>
      <c r="F261" s="157"/>
      <c r="G261" s="157"/>
      <c r="H261" s="28"/>
      <c r="I261" s="157"/>
      <c r="J261" s="157"/>
      <c r="K261" s="157"/>
      <c r="L261" s="348" t="s">
        <v>231</v>
      </c>
      <c r="M261" s="438"/>
      <c r="N261" s="347"/>
      <c r="O261" s="347"/>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row>
    <row r="262" spans="1:42" s="105" customFormat="1" ht="15" customHeight="1">
      <c r="A262" s="318" t="s">
        <v>52</v>
      </c>
      <c r="B262" s="318"/>
      <c r="C262" s="28">
        <f aca="true" t="shared" si="75" ref="C262:C267">SUM(E262:G262)</f>
        <v>50</v>
      </c>
      <c r="D262" s="28">
        <f aca="true" t="shared" si="76" ref="D262:K262">SUM(D263:D267)</f>
        <v>0</v>
      </c>
      <c r="E262" s="28">
        <f t="shared" si="76"/>
        <v>0</v>
      </c>
      <c r="F262" s="28">
        <f t="shared" si="76"/>
        <v>0</v>
      </c>
      <c r="G262" s="28">
        <f t="shared" si="76"/>
        <v>50</v>
      </c>
      <c r="H262" s="28">
        <f t="shared" si="59"/>
        <v>95</v>
      </c>
      <c r="I262" s="28">
        <f t="shared" si="76"/>
        <v>95</v>
      </c>
      <c r="J262" s="28">
        <f t="shared" si="76"/>
        <v>0</v>
      </c>
      <c r="K262" s="28">
        <f t="shared" si="76"/>
        <v>0</v>
      </c>
      <c r="L262" s="348"/>
      <c r="M262" s="439"/>
      <c r="N262" s="347"/>
      <c r="O262" s="347"/>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row>
    <row r="263" spans="1:42" s="105" customFormat="1" ht="15" customHeight="1">
      <c r="A263" s="318" t="s">
        <v>45</v>
      </c>
      <c r="B263" s="318"/>
      <c r="C263" s="28">
        <f t="shared" si="75"/>
        <v>0</v>
      </c>
      <c r="D263" s="28">
        <v>0</v>
      </c>
      <c r="E263" s="28">
        <v>0</v>
      </c>
      <c r="F263" s="28">
        <v>0</v>
      </c>
      <c r="G263" s="28">
        <v>0</v>
      </c>
      <c r="H263" s="28">
        <f t="shared" si="59"/>
        <v>0</v>
      </c>
      <c r="I263" s="28">
        <v>0</v>
      </c>
      <c r="J263" s="28">
        <v>0</v>
      </c>
      <c r="K263" s="28">
        <v>0</v>
      </c>
      <c r="L263" s="348"/>
      <c r="M263" s="439"/>
      <c r="N263" s="347"/>
      <c r="O263" s="347"/>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row>
    <row r="264" spans="1:42" s="105" customFormat="1" ht="15" customHeight="1">
      <c r="A264" s="318" t="s">
        <v>46</v>
      </c>
      <c r="B264" s="318"/>
      <c r="C264" s="28">
        <f t="shared" si="75"/>
        <v>50</v>
      </c>
      <c r="D264" s="28">
        <v>0</v>
      </c>
      <c r="E264" s="28">
        <v>0</v>
      </c>
      <c r="F264" s="113">
        <v>0</v>
      </c>
      <c r="G264" s="28">
        <v>50</v>
      </c>
      <c r="H264" s="28">
        <f t="shared" si="59"/>
        <v>95</v>
      </c>
      <c r="I264" s="28">
        <v>95</v>
      </c>
      <c r="J264" s="28">
        <v>0</v>
      </c>
      <c r="K264" s="28">
        <v>0</v>
      </c>
      <c r="L264" s="348"/>
      <c r="M264" s="439"/>
      <c r="N264" s="347"/>
      <c r="O264" s="347"/>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row>
    <row r="265" spans="1:42" s="105" customFormat="1" ht="15" customHeight="1">
      <c r="A265" s="318" t="s">
        <v>47</v>
      </c>
      <c r="B265" s="318"/>
      <c r="C265" s="28">
        <f t="shared" si="75"/>
        <v>0</v>
      </c>
      <c r="D265" s="28">
        <v>0</v>
      </c>
      <c r="E265" s="28">
        <v>0</v>
      </c>
      <c r="F265" s="28">
        <v>0</v>
      </c>
      <c r="G265" s="28">
        <v>0</v>
      </c>
      <c r="H265" s="28">
        <f t="shared" si="59"/>
        <v>0</v>
      </c>
      <c r="I265" s="28">
        <v>0</v>
      </c>
      <c r="J265" s="28">
        <v>0</v>
      </c>
      <c r="K265" s="28">
        <v>0</v>
      </c>
      <c r="L265" s="348"/>
      <c r="M265" s="439"/>
      <c r="N265" s="347"/>
      <c r="O265" s="347"/>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row>
    <row r="266" spans="1:42" s="105" customFormat="1" ht="15" customHeight="1">
      <c r="A266" s="318" t="s">
        <v>48</v>
      </c>
      <c r="B266" s="318"/>
      <c r="C266" s="28">
        <f t="shared" si="75"/>
        <v>0</v>
      </c>
      <c r="D266" s="28">
        <v>0</v>
      </c>
      <c r="E266" s="28">
        <v>0</v>
      </c>
      <c r="F266" s="28">
        <v>0</v>
      </c>
      <c r="G266" s="28">
        <v>0</v>
      </c>
      <c r="H266" s="28">
        <f t="shared" si="59"/>
        <v>0</v>
      </c>
      <c r="I266" s="28">
        <v>0</v>
      </c>
      <c r="J266" s="28">
        <v>0</v>
      </c>
      <c r="K266" s="28">
        <v>0</v>
      </c>
      <c r="L266" s="348"/>
      <c r="M266" s="439"/>
      <c r="N266" s="347"/>
      <c r="O266" s="347"/>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row>
    <row r="267" spans="1:42" s="105" customFormat="1" ht="18.75" customHeight="1">
      <c r="A267" s="318" t="s">
        <v>49</v>
      </c>
      <c r="B267" s="318"/>
      <c r="C267" s="28">
        <f t="shared" si="75"/>
        <v>0</v>
      </c>
      <c r="D267" s="28">
        <v>0</v>
      </c>
      <c r="E267" s="28">
        <v>0</v>
      </c>
      <c r="F267" s="28">
        <v>0</v>
      </c>
      <c r="G267" s="28">
        <v>0</v>
      </c>
      <c r="H267" s="28">
        <f t="shared" si="59"/>
        <v>0</v>
      </c>
      <c r="I267" s="28">
        <v>0</v>
      </c>
      <c r="J267" s="28">
        <v>0</v>
      </c>
      <c r="K267" s="28">
        <v>0</v>
      </c>
      <c r="L267" s="348"/>
      <c r="M267" s="439"/>
      <c r="N267" s="347"/>
      <c r="O267" s="347"/>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row>
    <row r="268" spans="1:42" s="105" customFormat="1" ht="59.25" customHeight="1">
      <c r="A268" s="356" t="s">
        <v>273</v>
      </c>
      <c r="B268" s="357"/>
      <c r="C268" s="204"/>
      <c r="D268" s="204"/>
      <c r="E268" s="204"/>
      <c r="F268" s="204"/>
      <c r="G268" s="204"/>
      <c r="H268" s="204"/>
      <c r="I268" s="204"/>
      <c r="J268" s="204"/>
      <c r="K268" s="204"/>
      <c r="L268" s="205"/>
      <c r="M268" s="206"/>
      <c r="N268" s="207"/>
      <c r="O268" s="208" t="s">
        <v>373</v>
      </c>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row>
    <row r="269" spans="1:15" ht="37.5" customHeight="1">
      <c r="A269" s="358" t="s">
        <v>168</v>
      </c>
      <c r="B269" s="359"/>
      <c r="C269" s="149"/>
      <c r="D269" s="149"/>
      <c r="E269" s="149"/>
      <c r="F269" s="149"/>
      <c r="G269" s="149"/>
      <c r="H269" s="28"/>
      <c r="I269" s="112"/>
      <c r="J269" s="112"/>
      <c r="K269" s="112"/>
      <c r="L269" s="348"/>
      <c r="M269" s="308"/>
      <c r="N269" s="303"/>
      <c r="O269" s="303"/>
    </row>
    <row r="270" spans="1:15" ht="15" customHeight="1">
      <c r="A270" s="355" t="s">
        <v>52</v>
      </c>
      <c r="B270" s="355"/>
      <c r="C270" s="112">
        <f>SUM(E270:G270)</f>
        <v>2779.2560000000003</v>
      </c>
      <c r="D270" s="112">
        <f aca="true" t="shared" si="77" ref="D270:G274">D277+D284+D291+D298+D305</f>
        <v>2732.727</v>
      </c>
      <c r="E270" s="112">
        <f t="shared" si="77"/>
        <v>1296.8</v>
      </c>
      <c r="F270" s="112">
        <f t="shared" si="77"/>
        <v>1357.4560000000001</v>
      </c>
      <c r="G270" s="28">
        <f t="shared" si="77"/>
        <v>125</v>
      </c>
      <c r="H270" s="28">
        <f t="shared" si="59"/>
        <v>3157.8</v>
      </c>
      <c r="I270" s="112">
        <f aca="true" t="shared" si="78" ref="I270:K274">I277+I284+I291+I298+I305</f>
        <v>3157.8</v>
      </c>
      <c r="J270" s="112">
        <f t="shared" si="78"/>
        <v>0</v>
      </c>
      <c r="K270" s="112">
        <f t="shared" si="78"/>
        <v>0</v>
      </c>
      <c r="L270" s="348"/>
      <c r="M270" s="309"/>
      <c r="N270" s="304"/>
      <c r="O270" s="304"/>
    </row>
    <row r="271" spans="1:15" ht="15" customHeight="1">
      <c r="A271" s="355" t="s">
        <v>45</v>
      </c>
      <c r="B271" s="355"/>
      <c r="C271" s="112">
        <f>SUM(E271:G271)</f>
        <v>0</v>
      </c>
      <c r="D271" s="112">
        <f t="shared" si="77"/>
        <v>0</v>
      </c>
      <c r="E271" s="112">
        <f t="shared" si="77"/>
        <v>0</v>
      </c>
      <c r="F271" s="112">
        <f t="shared" si="77"/>
        <v>0</v>
      </c>
      <c r="G271" s="28">
        <f t="shared" si="77"/>
        <v>0</v>
      </c>
      <c r="H271" s="28">
        <f aca="true" t="shared" si="79" ref="H271:H333">I271+J271+K271</f>
        <v>0</v>
      </c>
      <c r="I271" s="112">
        <f t="shared" si="78"/>
        <v>0</v>
      </c>
      <c r="J271" s="112">
        <f t="shared" si="78"/>
        <v>0</v>
      </c>
      <c r="K271" s="112">
        <f t="shared" si="78"/>
        <v>0</v>
      </c>
      <c r="L271" s="348"/>
      <c r="M271" s="309"/>
      <c r="N271" s="304"/>
      <c r="O271" s="304"/>
    </row>
    <row r="272" spans="1:15" ht="15" customHeight="1">
      <c r="A272" s="355" t="s">
        <v>46</v>
      </c>
      <c r="B272" s="355"/>
      <c r="C272" s="112">
        <f>SUM(E272:G272)</f>
        <v>2567.456</v>
      </c>
      <c r="D272" s="112">
        <f t="shared" si="77"/>
        <v>2350</v>
      </c>
      <c r="E272" s="112">
        <f t="shared" si="77"/>
        <v>1210</v>
      </c>
      <c r="F272" s="112">
        <f t="shared" si="77"/>
        <v>1232.4560000000001</v>
      </c>
      <c r="G272" s="28">
        <f t="shared" si="77"/>
        <v>125</v>
      </c>
      <c r="H272" s="28">
        <f t="shared" si="79"/>
        <v>3157.8</v>
      </c>
      <c r="I272" s="112">
        <f t="shared" si="78"/>
        <v>3157.8</v>
      </c>
      <c r="J272" s="112">
        <f t="shared" si="78"/>
        <v>0</v>
      </c>
      <c r="K272" s="112">
        <f t="shared" si="78"/>
        <v>0</v>
      </c>
      <c r="L272" s="348"/>
      <c r="M272" s="309"/>
      <c r="N272" s="304"/>
      <c r="O272" s="304"/>
    </row>
    <row r="273" spans="1:15" ht="15" customHeight="1">
      <c r="A273" s="355" t="s">
        <v>47</v>
      </c>
      <c r="B273" s="355"/>
      <c r="C273" s="112">
        <f>SUM(E273:G273)</f>
        <v>211.8</v>
      </c>
      <c r="D273" s="112">
        <f t="shared" si="77"/>
        <v>382.727</v>
      </c>
      <c r="E273" s="112">
        <f t="shared" si="77"/>
        <v>86.8</v>
      </c>
      <c r="F273" s="112">
        <f t="shared" si="77"/>
        <v>125</v>
      </c>
      <c r="G273" s="28">
        <f t="shared" si="77"/>
        <v>0</v>
      </c>
      <c r="H273" s="28">
        <f t="shared" si="79"/>
        <v>0</v>
      </c>
      <c r="I273" s="112">
        <f t="shared" si="78"/>
        <v>0</v>
      </c>
      <c r="J273" s="112">
        <f t="shared" si="78"/>
        <v>0</v>
      </c>
      <c r="K273" s="112">
        <f t="shared" si="78"/>
        <v>0</v>
      </c>
      <c r="L273" s="348"/>
      <c r="M273" s="309"/>
      <c r="N273" s="304"/>
      <c r="O273" s="304"/>
    </row>
    <row r="274" spans="1:15" ht="15" customHeight="1">
      <c r="A274" s="355" t="s">
        <v>48</v>
      </c>
      <c r="B274" s="355"/>
      <c r="C274" s="112">
        <f>SUM(E274:G274)</f>
        <v>0</v>
      </c>
      <c r="D274" s="112">
        <f t="shared" si="77"/>
        <v>0</v>
      </c>
      <c r="E274" s="112">
        <f t="shared" si="77"/>
        <v>0</v>
      </c>
      <c r="F274" s="112">
        <f t="shared" si="77"/>
        <v>0</v>
      </c>
      <c r="G274" s="28">
        <f t="shared" si="77"/>
        <v>0</v>
      </c>
      <c r="H274" s="28">
        <f t="shared" si="79"/>
        <v>0</v>
      </c>
      <c r="I274" s="112">
        <f t="shared" si="78"/>
        <v>0</v>
      </c>
      <c r="J274" s="112">
        <f t="shared" si="78"/>
        <v>0</v>
      </c>
      <c r="K274" s="112">
        <f t="shared" si="78"/>
        <v>0</v>
      </c>
      <c r="L274" s="348"/>
      <c r="M274" s="309"/>
      <c r="N274" s="304"/>
      <c r="O274" s="304"/>
    </row>
    <row r="275" spans="1:15" ht="15" customHeight="1">
      <c r="A275" s="355" t="s">
        <v>49</v>
      </c>
      <c r="B275" s="355"/>
      <c r="C275" s="112"/>
      <c r="D275" s="112"/>
      <c r="E275" s="112"/>
      <c r="F275" s="112"/>
      <c r="G275" s="28"/>
      <c r="H275" s="28">
        <f t="shared" si="79"/>
        <v>0</v>
      </c>
      <c r="I275" s="112">
        <f>I282+I289+I296+I303</f>
        <v>0</v>
      </c>
      <c r="J275" s="112">
        <f>J282+J289+J296+J303</f>
        <v>0</v>
      </c>
      <c r="K275" s="112">
        <f>K282+K289+K296+K303</f>
        <v>0</v>
      </c>
      <c r="L275" s="348"/>
      <c r="M275" s="310"/>
      <c r="N275" s="305"/>
      <c r="O275" s="305"/>
    </row>
    <row r="276" spans="1:42" s="106" customFormat="1" ht="79.5" customHeight="1">
      <c r="A276" s="353" t="s">
        <v>254</v>
      </c>
      <c r="B276" s="354"/>
      <c r="C276" s="157"/>
      <c r="D276" s="157"/>
      <c r="E276" s="157"/>
      <c r="F276" s="157"/>
      <c r="G276" s="157"/>
      <c r="H276" s="28"/>
      <c r="I276" s="157"/>
      <c r="J276" s="157"/>
      <c r="K276" s="157"/>
      <c r="L276" s="348" t="s">
        <v>231</v>
      </c>
      <c r="M276" s="348" t="s">
        <v>68</v>
      </c>
      <c r="N276" s="347"/>
      <c r="O276" s="347"/>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row>
    <row r="277" spans="1:15" ht="15" customHeight="1">
      <c r="A277" s="355" t="s">
        <v>52</v>
      </c>
      <c r="B277" s="355"/>
      <c r="C277" s="112">
        <f aca="true" t="shared" si="80" ref="C277:C282">SUM(E277:G277)</f>
        <v>1403.4560000000001</v>
      </c>
      <c r="D277" s="112">
        <f aca="true" t="shared" si="81" ref="D277:K277">SUM(D278:D282)</f>
        <v>640</v>
      </c>
      <c r="E277" s="112">
        <f t="shared" si="81"/>
        <v>771</v>
      </c>
      <c r="F277" s="112">
        <f t="shared" si="81"/>
        <v>632.456</v>
      </c>
      <c r="G277" s="28">
        <f t="shared" si="81"/>
        <v>0</v>
      </c>
      <c r="H277" s="28">
        <f t="shared" si="79"/>
        <v>1500</v>
      </c>
      <c r="I277" s="112">
        <f t="shared" si="81"/>
        <v>1500</v>
      </c>
      <c r="J277" s="112">
        <f t="shared" si="81"/>
        <v>0</v>
      </c>
      <c r="K277" s="112">
        <f t="shared" si="81"/>
        <v>0</v>
      </c>
      <c r="L277" s="348"/>
      <c r="M277" s="348"/>
      <c r="N277" s="347"/>
      <c r="O277" s="347"/>
    </row>
    <row r="278" spans="1:15" ht="15" customHeight="1">
      <c r="A278" s="355" t="s">
        <v>45</v>
      </c>
      <c r="B278" s="355"/>
      <c r="C278" s="112">
        <f t="shared" si="80"/>
        <v>0</v>
      </c>
      <c r="D278" s="112">
        <v>0</v>
      </c>
      <c r="E278" s="112">
        <v>0</v>
      </c>
      <c r="F278" s="112">
        <v>0</v>
      </c>
      <c r="G278" s="28">
        <v>0</v>
      </c>
      <c r="H278" s="28">
        <f t="shared" si="79"/>
        <v>0</v>
      </c>
      <c r="I278" s="112">
        <v>0</v>
      </c>
      <c r="J278" s="112">
        <v>0</v>
      </c>
      <c r="K278" s="112">
        <v>0</v>
      </c>
      <c r="L278" s="348"/>
      <c r="M278" s="348"/>
      <c r="N278" s="347"/>
      <c r="O278" s="347"/>
    </row>
    <row r="279" spans="1:15" ht="15" customHeight="1">
      <c r="A279" s="355" t="s">
        <v>46</v>
      </c>
      <c r="B279" s="355"/>
      <c r="C279" s="112">
        <f t="shared" si="80"/>
        <v>1403.4560000000001</v>
      </c>
      <c r="D279" s="112">
        <v>640</v>
      </c>
      <c r="E279" s="112">
        <v>771</v>
      </c>
      <c r="F279" s="135">
        <v>632.456</v>
      </c>
      <c r="G279" s="28">
        <v>0</v>
      </c>
      <c r="H279" s="28">
        <f t="shared" si="79"/>
        <v>1500</v>
      </c>
      <c r="I279" s="112">
        <v>1500</v>
      </c>
      <c r="J279" s="112">
        <v>0</v>
      </c>
      <c r="K279" s="112">
        <v>0</v>
      </c>
      <c r="L279" s="348"/>
      <c r="M279" s="348"/>
      <c r="N279" s="347"/>
      <c r="O279" s="347"/>
    </row>
    <row r="280" spans="1:15" ht="15" customHeight="1">
      <c r="A280" s="355" t="s">
        <v>47</v>
      </c>
      <c r="B280" s="355"/>
      <c r="C280" s="112">
        <f t="shared" si="80"/>
        <v>0</v>
      </c>
      <c r="D280" s="112">
        <v>0</v>
      </c>
      <c r="E280" s="112">
        <v>0</v>
      </c>
      <c r="F280" s="112">
        <v>0</v>
      </c>
      <c r="G280" s="28">
        <v>0</v>
      </c>
      <c r="H280" s="28">
        <f t="shared" si="79"/>
        <v>0</v>
      </c>
      <c r="I280" s="112">
        <v>0</v>
      </c>
      <c r="J280" s="112">
        <v>0</v>
      </c>
      <c r="K280" s="112">
        <v>0</v>
      </c>
      <c r="L280" s="348"/>
      <c r="M280" s="348"/>
      <c r="N280" s="347"/>
      <c r="O280" s="347"/>
    </row>
    <row r="281" spans="1:15" ht="15" customHeight="1">
      <c r="A281" s="355" t="s">
        <v>48</v>
      </c>
      <c r="B281" s="355"/>
      <c r="C281" s="112">
        <f t="shared" si="80"/>
        <v>0</v>
      </c>
      <c r="D281" s="112">
        <v>0</v>
      </c>
      <c r="E281" s="112">
        <v>0</v>
      </c>
      <c r="F281" s="112">
        <v>0</v>
      </c>
      <c r="G281" s="28">
        <v>0</v>
      </c>
      <c r="H281" s="28">
        <f t="shared" si="79"/>
        <v>0</v>
      </c>
      <c r="I281" s="112">
        <v>0</v>
      </c>
      <c r="J281" s="112">
        <v>0</v>
      </c>
      <c r="K281" s="112">
        <v>0</v>
      </c>
      <c r="L281" s="348"/>
      <c r="M281" s="348"/>
      <c r="N281" s="347"/>
      <c r="O281" s="347"/>
    </row>
    <row r="282" spans="1:15" ht="15" customHeight="1">
      <c r="A282" s="355" t="s">
        <v>49</v>
      </c>
      <c r="B282" s="355"/>
      <c r="C282" s="112">
        <f t="shared" si="80"/>
        <v>0</v>
      </c>
      <c r="D282" s="112">
        <v>0</v>
      </c>
      <c r="E282" s="112">
        <v>0</v>
      </c>
      <c r="F282" s="112">
        <v>0</v>
      </c>
      <c r="G282" s="28">
        <v>0</v>
      </c>
      <c r="H282" s="28">
        <f t="shared" si="79"/>
        <v>0</v>
      </c>
      <c r="I282" s="112">
        <v>0</v>
      </c>
      <c r="J282" s="112">
        <v>0</v>
      </c>
      <c r="K282" s="112">
        <v>0</v>
      </c>
      <c r="L282" s="348"/>
      <c r="M282" s="348"/>
      <c r="N282" s="347"/>
      <c r="O282" s="347"/>
    </row>
    <row r="283" spans="1:15" ht="48" customHeight="1">
      <c r="A283" s="362" t="s">
        <v>74</v>
      </c>
      <c r="B283" s="363"/>
      <c r="C283" s="149"/>
      <c r="D283" s="149"/>
      <c r="E283" s="149"/>
      <c r="F283" s="149"/>
      <c r="G283" s="149"/>
      <c r="H283" s="28"/>
      <c r="I283" s="149"/>
      <c r="J283" s="149"/>
      <c r="K283" s="149"/>
      <c r="L283" s="348" t="s">
        <v>231</v>
      </c>
      <c r="M283" s="348" t="s">
        <v>68</v>
      </c>
      <c r="N283" s="347"/>
      <c r="O283" s="347"/>
    </row>
    <row r="284" spans="1:15" ht="15" customHeight="1">
      <c r="A284" s="355" t="s">
        <v>52</v>
      </c>
      <c r="B284" s="355"/>
      <c r="C284" s="112">
        <f aca="true" t="shared" si="82" ref="C284:C289">SUM(E284:G284)</f>
        <v>1100.8</v>
      </c>
      <c r="D284" s="112">
        <f aca="true" t="shared" si="83" ref="D284:K284">SUM(D285:D289)</f>
        <v>1442.7269999999999</v>
      </c>
      <c r="E284" s="112">
        <f t="shared" si="83"/>
        <v>525.8</v>
      </c>
      <c r="F284" s="112">
        <f t="shared" si="83"/>
        <v>575</v>
      </c>
      <c r="G284" s="28">
        <f t="shared" si="83"/>
        <v>0</v>
      </c>
      <c r="H284" s="28">
        <f t="shared" si="79"/>
        <v>827.8</v>
      </c>
      <c r="I284" s="112">
        <f t="shared" si="83"/>
        <v>827.8</v>
      </c>
      <c r="J284" s="112">
        <f t="shared" si="83"/>
        <v>0</v>
      </c>
      <c r="K284" s="112">
        <f t="shared" si="83"/>
        <v>0</v>
      </c>
      <c r="L284" s="348"/>
      <c r="M284" s="348"/>
      <c r="N284" s="347"/>
      <c r="O284" s="347"/>
    </row>
    <row r="285" spans="1:15" ht="15" customHeight="1">
      <c r="A285" s="355" t="s">
        <v>45</v>
      </c>
      <c r="B285" s="355"/>
      <c r="C285" s="112">
        <f t="shared" si="82"/>
        <v>0</v>
      </c>
      <c r="D285" s="112">
        <v>0</v>
      </c>
      <c r="E285" s="112">
        <v>0</v>
      </c>
      <c r="F285" s="112">
        <v>0</v>
      </c>
      <c r="G285" s="28">
        <v>0</v>
      </c>
      <c r="H285" s="28">
        <f t="shared" si="79"/>
        <v>0</v>
      </c>
      <c r="I285" s="112">
        <v>0</v>
      </c>
      <c r="J285" s="112">
        <v>0</v>
      </c>
      <c r="K285" s="112">
        <v>0</v>
      </c>
      <c r="L285" s="348"/>
      <c r="M285" s="348"/>
      <c r="N285" s="347"/>
      <c r="O285" s="347"/>
    </row>
    <row r="286" spans="1:15" ht="15" customHeight="1">
      <c r="A286" s="355" t="s">
        <v>46</v>
      </c>
      <c r="B286" s="355"/>
      <c r="C286" s="112">
        <f t="shared" si="82"/>
        <v>889</v>
      </c>
      <c r="D286" s="112">
        <v>1060</v>
      </c>
      <c r="E286" s="112">
        <v>439</v>
      </c>
      <c r="F286" s="112">
        <v>450</v>
      </c>
      <c r="G286" s="28">
        <v>0</v>
      </c>
      <c r="H286" s="28">
        <f t="shared" si="79"/>
        <v>827.8</v>
      </c>
      <c r="I286" s="112">
        <v>827.8</v>
      </c>
      <c r="J286" s="112">
        <v>0</v>
      </c>
      <c r="K286" s="112">
        <v>0</v>
      </c>
      <c r="L286" s="348"/>
      <c r="M286" s="348"/>
      <c r="N286" s="347"/>
      <c r="O286" s="347"/>
    </row>
    <row r="287" spans="1:15" ht="15" customHeight="1">
      <c r="A287" s="355" t="s">
        <v>47</v>
      </c>
      <c r="B287" s="355"/>
      <c r="C287" s="112">
        <f t="shared" si="82"/>
        <v>211.8</v>
      </c>
      <c r="D287" s="112">
        <v>382.727</v>
      </c>
      <c r="E287" s="112">
        <v>86.8</v>
      </c>
      <c r="F287" s="28">
        <v>125</v>
      </c>
      <c r="G287" s="28">
        <v>0</v>
      </c>
      <c r="H287" s="28">
        <f t="shared" si="79"/>
        <v>0</v>
      </c>
      <c r="I287" s="112">
        <v>0</v>
      </c>
      <c r="J287" s="112">
        <v>0</v>
      </c>
      <c r="K287" s="112">
        <v>0</v>
      </c>
      <c r="L287" s="348"/>
      <c r="M287" s="348"/>
      <c r="N287" s="347"/>
      <c r="O287" s="347"/>
    </row>
    <row r="288" spans="1:15" ht="15" customHeight="1">
      <c r="A288" s="355" t="s">
        <v>48</v>
      </c>
      <c r="B288" s="355"/>
      <c r="C288" s="112">
        <f t="shared" si="82"/>
        <v>0</v>
      </c>
      <c r="D288" s="112">
        <v>0</v>
      </c>
      <c r="E288" s="112">
        <v>0</v>
      </c>
      <c r="F288" s="112">
        <v>0</v>
      </c>
      <c r="G288" s="28">
        <v>0</v>
      </c>
      <c r="H288" s="28">
        <f t="shared" si="79"/>
        <v>0</v>
      </c>
      <c r="I288" s="112">
        <v>0</v>
      </c>
      <c r="J288" s="112">
        <v>0</v>
      </c>
      <c r="K288" s="112">
        <v>0</v>
      </c>
      <c r="L288" s="348"/>
      <c r="M288" s="348"/>
      <c r="N288" s="347"/>
      <c r="O288" s="347"/>
    </row>
    <row r="289" spans="1:15" ht="15" customHeight="1">
      <c r="A289" s="355" t="s">
        <v>49</v>
      </c>
      <c r="B289" s="355"/>
      <c r="C289" s="112">
        <f t="shared" si="82"/>
        <v>0</v>
      </c>
      <c r="D289" s="112">
        <v>0</v>
      </c>
      <c r="E289" s="112">
        <v>0</v>
      </c>
      <c r="F289" s="112">
        <v>0</v>
      </c>
      <c r="G289" s="28">
        <v>0</v>
      </c>
      <c r="H289" s="28">
        <f t="shared" si="79"/>
        <v>0</v>
      </c>
      <c r="I289" s="112">
        <v>0</v>
      </c>
      <c r="J289" s="112">
        <v>0</v>
      </c>
      <c r="K289" s="112">
        <v>0</v>
      </c>
      <c r="L289" s="348"/>
      <c r="M289" s="348"/>
      <c r="N289" s="347"/>
      <c r="O289" s="347"/>
    </row>
    <row r="290" spans="1:15" ht="50.25" customHeight="1">
      <c r="A290" s="319" t="s">
        <v>75</v>
      </c>
      <c r="B290" s="370"/>
      <c r="C290" s="158"/>
      <c r="D290" s="158"/>
      <c r="E290" s="158"/>
      <c r="F290" s="158"/>
      <c r="G290" s="158"/>
      <c r="H290" s="28"/>
      <c r="I290" s="158"/>
      <c r="J290" s="158"/>
      <c r="K290" s="158"/>
      <c r="L290" s="348" t="s">
        <v>231</v>
      </c>
      <c r="M290" s="348" t="s">
        <v>68</v>
      </c>
      <c r="N290" s="347"/>
      <c r="O290" s="347"/>
    </row>
    <row r="291" spans="1:15" ht="15" customHeight="1">
      <c r="A291" s="355" t="s">
        <v>52</v>
      </c>
      <c r="B291" s="355"/>
      <c r="C291" s="112">
        <f aca="true" t="shared" si="84" ref="C291:C296">SUM(E291:G291)</f>
        <v>100</v>
      </c>
      <c r="D291" s="112">
        <f aca="true" t="shared" si="85" ref="D291:K291">SUM(D292:D296)</f>
        <v>150</v>
      </c>
      <c r="E291" s="112">
        <f t="shared" si="85"/>
        <v>0</v>
      </c>
      <c r="F291" s="112">
        <f t="shared" si="85"/>
        <v>100</v>
      </c>
      <c r="G291" s="28">
        <f t="shared" si="85"/>
        <v>0</v>
      </c>
      <c r="H291" s="28">
        <f t="shared" si="79"/>
        <v>680</v>
      </c>
      <c r="I291" s="112">
        <f t="shared" si="85"/>
        <v>680</v>
      </c>
      <c r="J291" s="112">
        <f t="shared" si="85"/>
        <v>0</v>
      </c>
      <c r="K291" s="112">
        <f t="shared" si="85"/>
        <v>0</v>
      </c>
      <c r="L291" s="348"/>
      <c r="M291" s="348"/>
      <c r="N291" s="347"/>
      <c r="O291" s="347"/>
    </row>
    <row r="292" spans="1:15" ht="15" customHeight="1">
      <c r="A292" s="355" t="s">
        <v>45</v>
      </c>
      <c r="B292" s="355"/>
      <c r="C292" s="112">
        <f t="shared" si="84"/>
        <v>0</v>
      </c>
      <c r="D292" s="112">
        <v>0</v>
      </c>
      <c r="E292" s="112">
        <v>0</v>
      </c>
      <c r="F292" s="112">
        <v>0</v>
      </c>
      <c r="G292" s="28">
        <v>0</v>
      </c>
      <c r="H292" s="28">
        <f t="shared" si="79"/>
        <v>0</v>
      </c>
      <c r="I292" s="112">
        <v>0</v>
      </c>
      <c r="J292" s="112">
        <v>0</v>
      </c>
      <c r="K292" s="112">
        <v>0</v>
      </c>
      <c r="L292" s="348"/>
      <c r="M292" s="348"/>
      <c r="N292" s="347"/>
      <c r="O292" s="347"/>
    </row>
    <row r="293" spans="1:15" ht="15" customHeight="1">
      <c r="A293" s="355" t="s">
        <v>46</v>
      </c>
      <c r="B293" s="355"/>
      <c r="C293" s="112">
        <f t="shared" si="84"/>
        <v>100</v>
      </c>
      <c r="D293" s="112">
        <v>150</v>
      </c>
      <c r="E293" s="112">
        <v>0</v>
      </c>
      <c r="F293" s="112">
        <v>100</v>
      </c>
      <c r="G293" s="28">
        <v>0</v>
      </c>
      <c r="H293" s="28">
        <f t="shared" si="79"/>
        <v>680</v>
      </c>
      <c r="I293" s="112">
        <v>680</v>
      </c>
      <c r="J293" s="112"/>
      <c r="K293" s="112"/>
      <c r="L293" s="348"/>
      <c r="M293" s="348"/>
      <c r="N293" s="347"/>
      <c r="O293" s="347"/>
    </row>
    <row r="294" spans="1:15" ht="15" customHeight="1">
      <c r="A294" s="355" t="s">
        <v>47</v>
      </c>
      <c r="B294" s="355"/>
      <c r="C294" s="112">
        <f t="shared" si="84"/>
        <v>0</v>
      </c>
      <c r="D294" s="112">
        <v>0</v>
      </c>
      <c r="E294" s="112">
        <v>0</v>
      </c>
      <c r="F294" s="112">
        <v>0</v>
      </c>
      <c r="G294" s="28">
        <v>0</v>
      </c>
      <c r="H294" s="28">
        <f t="shared" si="79"/>
        <v>0</v>
      </c>
      <c r="I294" s="112">
        <v>0</v>
      </c>
      <c r="J294" s="112">
        <v>0</v>
      </c>
      <c r="K294" s="112">
        <v>0</v>
      </c>
      <c r="L294" s="348"/>
      <c r="M294" s="348"/>
      <c r="N294" s="347"/>
      <c r="O294" s="347"/>
    </row>
    <row r="295" spans="1:15" ht="15" customHeight="1">
      <c r="A295" s="355" t="s">
        <v>48</v>
      </c>
      <c r="B295" s="355"/>
      <c r="C295" s="112">
        <f t="shared" si="84"/>
        <v>0</v>
      </c>
      <c r="D295" s="112">
        <v>0</v>
      </c>
      <c r="E295" s="112">
        <v>0</v>
      </c>
      <c r="F295" s="112">
        <v>0</v>
      </c>
      <c r="G295" s="28">
        <v>0</v>
      </c>
      <c r="H295" s="28">
        <f t="shared" si="79"/>
        <v>0</v>
      </c>
      <c r="I295" s="112">
        <v>0</v>
      </c>
      <c r="J295" s="112">
        <v>0</v>
      </c>
      <c r="K295" s="112">
        <v>0</v>
      </c>
      <c r="L295" s="348"/>
      <c r="M295" s="348"/>
      <c r="N295" s="347"/>
      <c r="O295" s="347"/>
    </row>
    <row r="296" spans="1:15" ht="15" customHeight="1">
      <c r="A296" s="355" t="s">
        <v>49</v>
      </c>
      <c r="B296" s="355"/>
      <c r="C296" s="112">
        <f t="shared" si="84"/>
        <v>0</v>
      </c>
      <c r="D296" s="112">
        <v>0</v>
      </c>
      <c r="E296" s="112">
        <v>0</v>
      </c>
      <c r="F296" s="112">
        <v>0</v>
      </c>
      <c r="G296" s="28">
        <v>0</v>
      </c>
      <c r="H296" s="28">
        <f t="shared" si="79"/>
        <v>0</v>
      </c>
      <c r="I296" s="112">
        <v>0</v>
      </c>
      <c r="J296" s="112">
        <v>0</v>
      </c>
      <c r="K296" s="112">
        <v>0</v>
      </c>
      <c r="L296" s="348"/>
      <c r="M296" s="348"/>
      <c r="N296" s="347"/>
      <c r="O296" s="347"/>
    </row>
    <row r="297" spans="1:15" ht="58.5" customHeight="1">
      <c r="A297" s="362" t="s">
        <v>76</v>
      </c>
      <c r="B297" s="363"/>
      <c r="C297" s="149"/>
      <c r="D297" s="149"/>
      <c r="E297" s="149"/>
      <c r="F297" s="149"/>
      <c r="G297" s="149"/>
      <c r="H297" s="28"/>
      <c r="I297" s="149"/>
      <c r="J297" s="149"/>
      <c r="K297" s="149"/>
      <c r="L297" s="348"/>
      <c r="M297" s="308"/>
      <c r="N297" s="303"/>
      <c r="O297" s="303"/>
    </row>
    <row r="298" spans="1:15" ht="15" customHeight="1">
      <c r="A298" s="355" t="s">
        <v>52</v>
      </c>
      <c r="B298" s="355"/>
      <c r="C298" s="112">
        <f aca="true" t="shared" si="86" ref="C298:C303">SUM(E298:G298)</f>
        <v>0</v>
      </c>
      <c r="D298" s="112">
        <f aca="true" t="shared" si="87" ref="D298:K298">SUM(D299:D303)</f>
        <v>500</v>
      </c>
      <c r="E298" s="112">
        <f t="shared" si="87"/>
        <v>0</v>
      </c>
      <c r="F298" s="112">
        <f t="shared" si="87"/>
        <v>0</v>
      </c>
      <c r="G298" s="28">
        <f t="shared" si="87"/>
        <v>0</v>
      </c>
      <c r="H298" s="28">
        <f t="shared" si="79"/>
        <v>0</v>
      </c>
      <c r="I298" s="112">
        <f t="shared" si="87"/>
        <v>0</v>
      </c>
      <c r="J298" s="112">
        <f t="shared" si="87"/>
        <v>0</v>
      </c>
      <c r="K298" s="112">
        <f t="shared" si="87"/>
        <v>0</v>
      </c>
      <c r="L298" s="348"/>
      <c r="M298" s="309"/>
      <c r="N298" s="304"/>
      <c r="O298" s="304"/>
    </row>
    <row r="299" spans="1:15" ht="15" customHeight="1">
      <c r="A299" s="355" t="s">
        <v>45</v>
      </c>
      <c r="B299" s="355"/>
      <c r="C299" s="112">
        <f t="shared" si="86"/>
        <v>0</v>
      </c>
      <c r="D299" s="112">
        <v>0</v>
      </c>
      <c r="E299" s="112">
        <v>0</v>
      </c>
      <c r="F299" s="112">
        <v>0</v>
      </c>
      <c r="G299" s="28">
        <v>0</v>
      </c>
      <c r="H299" s="28">
        <f t="shared" si="79"/>
        <v>0</v>
      </c>
      <c r="I299" s="112">
        <v>0</v>
      </c>
      <c r="J299" s="112">
        <v>0</v>
      </c>
      <c r="K299" s="112">
        <v>0</v>
      </c>
      <c r="L299" s="348"/>
      <c r="M299" s="309"/>
      <c r="N299" s="304"/>
      <c r="O299" s="304"/>
    </row>
    <row r="300" spans="1:15" ht="15" customHeight="1">
      <c r="A300" s="355" t="s">
        <v>46</v>
      </c>
      <c r="B300" s="355"/>
      <c r="C300" s="112">
        <f t="shared" si="86"/>
        <v>0</v>
      </c>
      <c r="D300" s="112">
        <v>500</v>
      </c>
      <c r="E300" s="112">
        <v>0</v>
      </c>
      <c r="F300" s="112">
        <v>0</v>
      </c>
      <c r="G300" s="28">
        <v>0</v>
      </c>
      <c r="H300" s="28">
        <f t="shared" si="79"/>
        <v>0</v>
      </c>
      <c r="I300" s="112">
        <v>0</v>
      </c>
      <c r="J300" s="112">
        <v>0</v>
      </c>
      <c r="K300" s="112">
        <v>0</v>
      </c>
      <c r="L300" s="348"/>
      <c r="M300" s="309"/>
      <c r="N300" s="304"/>
      <c r="O300" s="304"/>
    </row>
    <row r="301" spans="1:15" ht="15" customHeight="1">
      <c r="A301" s="355" t="s">
        <v>47</v>
      </c>
      <c r="B301" s="355"/>
      <c r="C301" s="112">
        <f t="shared" si="86"/>
        <v>0</v>
      </c>
      <c r="D301" s="112">
        <v>0</v>
      </c>
      <c r="E301" s="112">
        <v>0</v>
      </c>
      <c r="F301" s="112">
        <v>0</v>
      </c>
      <c r="G301" s="28">
        <v>0</v>
      </c>
      <c r="H301" s="28">
        <f t="shared" si="79"/>
        <v>0</v>
      </c>
      <c r="I301" s="112">
        <v>0</v>
      </c>
      <c r="J301" s="112">
        <v>0</v>
      </c>
      <c r="K301" s="112">
        <v>0</v>
      </c>
      <c r="L301" s="348"/>
      <c r="M301" s="309"/>
      <c r="N301" s="304"/>
      <c r="O301" s="304"/>
    </row>
    <row r="302" spans="1:15" ht="15" customHeight="1">
      <c r="A302" s="355" t="s">
        <v>48</v>
      </c>
      <c r="B302" s="355"/>
      <c r="C302" s="112">
        <f t="shared" si="86"/>
        <v>0</v>
      </c>
      <c r="D302" s="112">
        <v>0</v>
      </c>
      <c r="E302" s="112">
        <v>0</v>
      </c>
      <c r="F302" s="112">
        <v>0</v>
      </c>
      <c r="G302" s="28">
        <v>0</v>
      </c>
      <c r="H302" s="28">
        <f t="shared" si="79"/>
        <v>0</v>
      </c>
      <c r="I302" s="112">
        <v>0</v>
      </c>
      <c r="J302" s="112">
        <v>0</v>
      </c>
      <c r="K302" s="112">
        <v>0</v>
      </c>
      <c r="L302" s="348"/>
      <c r="M302" s="309"/>
      <c r="N302" s="304"/>
      <c r="O302" s="304"/>
    </row>
    <row r="303" spans="1:15" ht="15" customHeight="1">
      <c r="A303" s="355" t="s">
        <v>49</v>
      </c>
      <c r="B303" s="355"/>
      <c r="C303" s="112">
        <f t="shared" si="86"/>
        <v>0</v>
      </c>
      <c r="D303" s="112">
        <v>0</v>
      </c>
      <c r="E303" s="112">
        <v>0</v>
      </c>
      <c r="F303" s="112">
        <v>0</v>
      </c>
      <c r="G303" s="28">
        <v>0</v>
      </c>
      <c r="H303" s="28">
        <f t="shared" si="79"/>
        <v>0</v>
      </c>
      <c r="I303" s="112">
        <v>0</v>
      </c>
      <c r="J303" s="112">
        <v>0</v>
      </c>
      <c r="K303" s="112">
        <v>0</v>
      </c>
      <c r="L303" s="348"/>
      <c r="M303" s="309"/>
      <c r="N303" s="304"/>
      <c r="O303" s="304"/>
    </row>
    <row r="304" spans="1:42" s="106" customFormat="1" ht="59.25" customHeight="1">
      <c r="A304" s="353" t="s">
        <v>255</v>
      </c>
      <c r="B304" s="354"/>
      <c r="C304" s="157"/>
      <c r="D304" s="157"/>
      <c r="E304" s="157"/>
      <c r="F304" s="157"/>
      <c r="G304" s="157"/>
      <c r="H304" s="28"/>
      <c r="I304" s="157"/>
      <c r="J304" s="157"/>
      <c r="K304" s="157"/>
      <c r="L304" s="348" t="s">
        <v>231</v>
      </c>
      <c r="M304" s="308"/>
      <c r="N304" s="311"/>
      <c r="O304" s="311"/>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5"/>
      <c r="AL304" s="145"/>
      <c r="AM304" s="145"/>
      <c r="AN304" s="145"/>
      <c r="AO304" s="145"/>
      <c r="AP304" s="145"/>
    </row>
    <row r="305" spans="1:42" s="106" customFormat="1" ht="15" customHeight="1">
      <c r="A305" s="318" t="s">
        <v>52</v>
      </c>
      <c r="B305" s="318"/>
      <c r="C305" s="28">
        <f aca="true" t="shared" si="88" ref="C305:C310">SUM(E305:G305)</f>
        <v>175</v>
      </c>
      <c r="D305" s="28">
        <f aca="true" t="shared" si="89" ref="D305:K305">SUM(D306:D310)</f>
        <v>0</v>
      </c>
      <c r="E305" s="28">
        <f t="shared" si="89"/>
        <v>0</v>
      </c>
      <c r="F305" s="28">
        <f t="shared" si="89"/>
        <v>50</v>
      </c>
      <c r="G305" s="28">
        <f t="shared" si="89"/>
        <v>125</v>
      </c>
      <c r="H305" s="28">
        <f t="shared" si="79"/>
        <v>150</v>
      </c>
      <c r="I305" s="28">
        <f t="shared" si="89"/>
        <v>150</v>
      </c>
      <c r="J305" s="28">
        <f t="shared" si="89"/>
        <v>0</v>
      </c>
      <c r="K305" s="28">
        <f t="shared" si="89"/>
        <v>0</v>
      </c>
      <c r="L305" s="348"/>
      <c r="M305" s="309"/>
      <c r="N305" s="312"/>
      <c r="O305" s="312"/>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45"/>
      <c r="AP305" s="145"/>
    </row>
    <row r="306" spans="1:42" s="106" customFormat="1" ht="15" customHeight="1">
      <c r="A306" s="318" t="s">
        <v>45</v>
      </c>
      <c r="B306" s="318"/>
      <c r="C306" s="28">
        <f t="shared" si="88"/>
        <v>0</v>
      </c>
      <c r="D306" s="28">
        <v>0</v>
      </c>
      <c r="E306" s="28">
        <v>0</v>
      </c>
      <c r="F306" s="28">
        <v>0</v>
      </c>
      <c r="G306" s="28">
        <v>0</v>
      </c>
      <c r="H306" s="28">
        <f t="shared" si="79"/>
        <v>0</v>
      </c>
      <c r="I306" s="28">
        <v>0</v>
      </c>
      <c r="J306" s="28">
        <v>0</v>
      </c>
      <c r="K306" s="28">
        <v>0</v>
      </c>
      <c r="L306" s="348"/>
      <c r="M306" s="309"/>
      <c r="N306" s="312"/>
      <c r="O306" s="312"/>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row>
    <row r="307" spans="1:42" s="106" customFormat="1" ht="15" customHeight="1">
      <c r="A307" s="318" t="s">
        <v>46</v>
      </c>
      <c r="B307" s="318"/>
      <c r="C307" s="28">
        <f t="shared" si="88"/>
        <v>175</v>
      </c>
      <c r="D307" s="28">
        <v>0</v>
      </c>
      <c r="E307" s="28">
        <v>0</v>
      </c>
      <c r="F307" s="113">
        <v>50</v>
      </c>
      <c r="G307" s="28">
        <v>125</v>
      </c>
      <c r="H307" s="28">
        <f t="shared" si="79"/>
        <v>150</v>
      </c>
      <c r="I307" s="28">
        <v>150</v>
      </c>
      <c r="J307" s="28">
        <v>0</v>
      </c>
      <c r="K307" s="28">
        <v>0</v>
      </c>
      <c r="L307" s="348"/>
      <c r="M307" s="309"/>
      <c r="N307" s="312"/>
      <c r="O307" s="312"/>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row>
    <row r="308" spans="1:42" s="106" customFormat="1" ht="15" customHeight="1">
      <c r="A308" s="318" t="s">
        <v>47</v>
      </c>
      <c r="B308" s="318"/>
      <c r="C308" s="28">
        <f t="shared" si="88"/>
        <v>0</v>
      </c>
      <c r="D308" s="28">
        <v>0</v>
      </c>
      <c r="E308" s="28">
        <v>0</v>
      </c>
      <c r="F308" s="28">
        <v>0</v>
      </c>
      <c r="G308" s="28">
        <v>0</v>
      </c>
      <c r="H308" s="28">
        <f t="shared" si="79"/>
        <v>0</v>
      </c>
      <c r="I308" s="28">
        <v>0</v>
      </c>
      <c r="J308" s="28">
        <v>0</v>
      </c>
      <c r="K308" s="28">
        <v>0</v>
      </c>
      <c r="L308" s="348"/>
      <c r="M308" s="309"/>
      <c r="N308" s="312"/>
      <c r="O308" s="312"/>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row>
    <row r="309" spans="1:42" s="106" customFormat="1" ht="15" customHeight="1">
      <c r="A309" s="318" t="s">
        <v>48</v>
      </c>
      <c r="B309" s="318"/>
      <c r="C309" s="28">
        <f t="shared" si="88"/>
        <v>0</v>
      </c>
      <c r="D309" s="28">
        <v>0</v>
      </c>
      <c r="E309" s="28">
        <v>0</v>
      </c>
      <c r="F309" s="28">
        <v>0</v>
      </c>
      <c r="G309" s="28">
        <v>0</v>
      </c>
      <c r="H309" s="28">
        <f t="shared" si="79"/>
        <v>0</v>
      </c>
      <c r="I309" s="28">
        <v>0</v>
      </c>
      <c r="J309" s="28">
        <v>0</v>
      </c>
      <c r="K309" s="28">
        <v>0</v>
      </c>
      <c r="L309" s="348"/>
      <c r="M309" s="309"/>
      <c r="N309" s="312"/>
      <c r="O309" s="312"/>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45"/>
      <c r="AP309" s="145"/>
    </row>
    <row r="310" spans="1:42" s="106" customFormat="1" ht="15" customHeight="1">
      <c r="A310" s="318" t="s">
        <v>49</v>
      </c>
      <c r="B310" s="318"/>
      <c r="C310" s="28">
        <f t="shared" si="88"/>
        <v>0</v>
      </c>
      <c r="D310" s="28">
        <v>0</v>
      </c>
      <c r="E310" s="28">
        <v>0</v>
      </c>
      <c r="F310" s="28">
        <v>0</v>
      </c>
      <c r="G310" s="28">
        <v>0</v>
      </c>
      <c r="H310" s="28">
        <f t="shared" si="79"/>
        <v>0</v>
      </c>
      <c r="I310" s="28">
        <v>0</v>
      </c>
      <c r="J310" s="28">
        <v>0</v>
      </c>
      <c r="K310" s="28">
        <v>0</v>
      </c>
      <c r="L310" s="348"/>
      <c r="M310" s="309"/>
      <c r="N310" s="312"/>
      <c r="O310" s="312"/>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5"/>
      <c r="AL310" s="145"/>
      <c r="AM310" s="145"/>
      <c r="AN310" s="145"/>
      <c r="AO310" s="145"/>
      <c r="AP310" s="145"/>
    </row>
    <row r="311" spans="1:42" s="106" customFormat="1" ht="150" customHeight="1">
      <c r="A311" s="356" t="s">
        <v>275</v>
      </c>
      <c r="B311" s="408"/>
      <c r="C311" s="215"/>
      <c r="D311" s="215"/>
      <c r="E311" s="215"/>
      <c r="F311" s="215"/>
      <c r="G311" s="215"/>
      <c r="H311" s="204"/>
      <c r="I311" s="204"/>
      <c r="J311" s="204"/>
      <c r="K311" s="204"/>
      <c r="L311" s="216"/>
      <c r="M311" s="205"/>
      <c r="N311" s="214"/>
      <c r="O311" s="213" t="s">
        <v>376</v>
      </c>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row>
    <row r="312" spans="1:42" s="106" customFormat="1" ht="67.5" customHeight="1">
      <c r="A312" s="358" t="s">
        <v>262</v>
      </c>
      <c r="B312" s="440"/>
      <c r="C312" s="161"/>
      <c r="D312" s="161"/>
      <c r="E312" s="161"/>
      <c r="F312" s="161"/>
      <c r="G312" s="161"/>
      <c r="H312" s="28"/>
      <c r="I312" s="149"/>
      <c r="J312" s="149"/>
      <c r="K312" s="149"/>
      <c r="L312" s="308" t="s">
        <v>221</v>
      </c>
      <c r="M312" s="308"/>
      <c r="N312" s="303"/>
      <c r="O312" s="303"/>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5"/>
      <c r="AL312" s="145"/>
      <c r="AM312" s="145"/>
      <c r="AN312" s="145"/>
      <c r="AO312" s="145"/>
      <c r="AP312" s="145"/>
    </row>
    <row r="313" spans="1:42" s="106" customFormat="1" ht="13.5" customHeight="1">
      <c r="A313" s="318" t="s">
        <v>52</v>
      </c>
      <c r="B313" s="318"/>
      <c r="C313" s="28">
        <f aca="true" t="shared" si="90" ref="C313:C318">SUM(E313:G313)</f>
        <v>175</v>
      </c>
      <c r="D313" s="28">
        <f aca="true" t="shared" si="91" ref="D313:K313">SUM(D314:D318)</f>
        <v>0</v>
      </c>
      <c r="E313" s="28">
        <f t="shared" si="91"/>
        <v>0</v>
      </c>
      <c r="F313" s="28">
        <f t="shared" si="91"/>
        <v>50</v>
      </c>
      <c r="G313" s="28">
        <f t="shared" si="91"/>
        <v>125</v>
      </c>
      <c r="H313" s="28">
        <f t="shared" si="79"/>
        <v>0</v>
      </c>
      <c r="I313" s="28">
        <f t="shared" si="91"/>
        <v>0</v>
      </c>
      <c r="J313" s="28">
        <f t="shared" si="91"/>
        <v>0</v>
      </c>
      <c r="K313" s="28">
        <f t="shared" si="91"/>
        <v>0</v>
      </c>
      <c r="L313" s="309"/>
      <c r="M313" s="309"/>
      <c r="N313" s="304"/>
      <c r="O313" s="304"/>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45"/>
      <c r="AP313" s="145"/>
    </row>
    <row r="314" spans="1:42" s="106" customFormat="1" ht="13.5" customHeight="1">
      <c r="A314" s="318" t="s">
        <v>45</v>
      </c>
      <c r="B314" s="318"/>
      <c r="C314" s="28">
        <f t="shared" si="90"/>
        <v>0</v>
      </c>
      <c r="D314" s="28">
        <v>0</v>
      </c>
      <c r="E314" s="28">
        <v>0</v>
      </c>
      <c r="F314" s="28">
        <v>0</v>
      </c>
      <c r="G314" s="28">
        <v>0</v>
      </c>
      <c r="H314" s="28">
        <f t="shared" si="79"/>
        <v>0</v>
      </c>
      <c r="I314" s="28">
        <f aca="true" t="shared" si="92" ref="I314:K315">I321</f>
        <v>0</v>
      </c>
      <c r="J314" s="28">
        <f t="shared" si="92"/>
        <v>0</v>
      </c>
      <c r="K314" s="28">
        <f t="shared" si="92"/>
        <v>0</v>
      </c>
      <c r="L314" s="309"/>
      <c r="M314" s="309"/>
      <c r="N314" s="304"/>
      <c r="O314" s="304"/>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5"/>
      <c r="AM314" s="145"/>
      <c r="AN314" s="145"/>
      <c r="AO314" s="145"/>
      <c r="AP314" s="145"/>
    </row>
    <row r="315" spans="1:42" s="106" customFormat="1" ht="12" customHeight="1">
      <c r="A315" s="318" t="s">
        <v>46</v>
      </c>
      <c r="B315" s="318"/>
      <c r="C315" s="28">
        <f t="shared" si="90"/>
        <v>175</v>
      </c>
      <c r="D315" s="28">
        <v>0</v>
      </c>
      <c r="E315" s="28">
        <v>0</v>
      </c>
      <c r="F315" s="113">
        <v>50</v>
      </c>
      <c r="G315" s="28">
        <v>125</v>
      </c>
      <c r="H315" s="28">
        <f t="shared" si="79"/>
        <v>0</v>
      </c>
      <c r="I315" s="28">
        <f t="shared" si="92"/>
        <v>0</v>
      </c>
      <c r="J315" s="28">
        <f t="shared" si="92"/>
        <v>0</v>
      </c>
      <c r="K315" s="28">
        <f t="shared" si="92"/>
        <v>0</v>
      </c>
      <c r="L315" s="309"/>
      <c r="M315" s="309"/>
      <c r="N315" s="304"/>
      <c r="O315" s="304"/>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5"/>
      <c r="AL315" s="145"/>
      <c r="AM315" s="145"/>
      <c r="AN315" s="145"/>
      <c r="AO315" s="145"/>
      <c r="AP315" s="145"/>
    </row>
    <row r="316" spans="1:42" s="106" customFormat="1" ht="13.5" customHeight="1">
      <c r="A316" s="318" t="s">
        <v>47</v>
      </c>
      <c r="B316" s="318"/>
      <c r="C316" s="28">
        <f t="shared" si="90"/>
        <v>0</v>
      </c>
      <c r="D316" s="28">
        <v>0</v>
      </c>
      <c r="E316" s="28">
        <v>0</v>
      </c>
      <c r="F316" s="28">
        <v>0</v>
      </c>
      <c r="G316" s="28">
        <v>0</v>
      </c>
      <c r="H316" s="28">
        <f t="shared" si="79"/>
        <v>0</v>
      </c>
      <c r="I316" s="28">
        <v>0</v>
      </c>
      <c r="J316" s="28">
        <v>0</v>
      </c>
      <c r="K316" s="28">
        <v>0</v>
      </c>
      <c r="L316" s="309"/>
      <c r="M316" s="309"/>
      <c r="N316" s="304"/>
      <c r="O316" s="304"/>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row>
    <row r="317" spans="1:42" s="106" customFormat="1" ht="12" customHeight="1">
      <c r="A317" s="318" t="s">
        <v>48</v>
      </c>
      <c r="B317" s="318"/>
      <c r="C317" s="28">
        <f t="shared" si="90"/>
        <v>0</v>
      </c>
      <c r="D317" s="28">
        <v>0</v>
      </c>
      <c r="E317" s="28">
        <v>0</v>
      </c>
      <c r="F317" s="28">
        <v>0</v>
      </c>
      <c r="G317" s="28">
        <v>0</v>
      </c>
      <c r="H317" s="28">
        <f t="shared" si="79"/>
        <v>0</v>
      </c>
      <c r="I317" s="28">
        <v>0</v>
      </c>
      <c r="J317" s="28">
        <v>0</v>
      </c>
      <c r="K317" s="28">
        <v>0</v>
      </c>
      <c r="L317" s="309"/>
      <c r="M317" s="309"/>
      <c r="N317" s="304"/>
      <c r="O317" s="304"/>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45"/>
      <c r="AP317" s="145"/>
    </row>
    <row r="318" spans="1:42" s="106" customFormat="1" ht="12.75" customHeight="1">
      <c r="A318" s="318" t="s">
        <v>49</v>
      </c>
      <c r="B318" s="318"/>
      <c r="C318" s="28">
        <f t="shared" si="90"/>
        <v>0</v>
      </c>
      <c r="D318" s="28">
        <v>0</v>
      </c>
      <c r="E318" s="28">
        <v>0</v>
      </c>
      <c r="F318" s="28">
        <v>0</v>
      </c>
      <c r="G318" s="28">
        <v>0</v>
      </c>
      <c r="H318" s="28">
        <f t="shared" si="79"/>
        <v>0</v>
      </c>
      <c r="I318" s="28">
        <v>0</v>
      </c>
      <c r="J318" s="28">
        <v>0</v>
      </c>
      <c r="K318" s="28">
        <v>0</v>
      </c>
      <c r="L318" s="309"/>
      <c r="M318" s="309"/>
      <c r="N318" s="304"/>
      <c r="O318" s="304"/>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5"/>
      <c r="AL318" s="145"/>
      <c r="AM318" s="145"/>
      <c r="AN318" s="145"/>
      <c r="AO318" s="145"/>
      <c r="AP318" s="145"/>
    </row>
    <row r="319" spans="1:42" s="106" customFormat="1" ht="44.25" customHeight="1">
      <c r="A319" s="319" t="s">
        <v>263</v>
      </c>
      <c r="B319" s="320"/>
      <c r="C319" s="162"/>
      <c r="D319" s="162"/>
      <c r="E319" s="162"/>
      <c r="F319" s="162"/>
      <c r="G319" s="162"/>
      <c r="H319" s="28"/>
      <c r="I319" s="162"/>
      <c r="J319" s="162"/>
      <c r="K319" s="163"/>
      <c r="L319" s="310"/>
      <c r="M319" s="310"/>
      <c r="N319" s="305"/>
      <c r="O319" s="305"/>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5"/>
      <c r="AL319" s="145"/>
      <c r="AM319" s="145"/>
      <c r="AN319" s="145"/>
      <c r="AO319" s="145"/>
      <c r="AP319" s="145"/>
    </row>
    <row r="320" spans="1:42" s="106" customFormat="1" ht="12" customHeight="1">
      <c r="A320" s="318" t="s">
        <v>52</v>
      </c>
      <c r="B320" s="318"/>
      <c r="C320" s="28">
        <f aca="true" t="shared" si="93" ref="C320:C325">SUM(E320:G320)</f>
        <v>175</v>
      </c>
      <c r="D320" s="28">
        <f aca="true" t="shared" si="94" ref="D320:K320">SUM(D321:D325)</f>
        <v>0</v>
      </c>
      <c r="E320" s="28">
        <f t="shared" si="94"/>
        <v>0</v>
      </c>
      <c r="F320" s="28">
        <f t="shared" si="94"/>
        <v>50</v>
      </c>
      <c r="G320" s="28">
        <f t="shared" si="94"/>
        <v>125</v>
      </c>
      <c r="H320" s="28">
        <f t="shared" si="79"/>
        <v>0</v>
      </c>
      <c r="I320" s="28">
        <f t="shared" si="94"/>
        <v>0</v>
      </c>
      <c r="J320" s="28">
        <f t="shared" si="94"/>
        <v>0</v>
      </c>
      <c r="K320" s="28">
        <f t="shared" si="94"/>
        <v>0</v>
      </c>
      <c r="L320" s="308" t="s">
        <v>221</v>
      </c>
      <c r="M320" s="308"/>
      <c r="N320" s="303"/>
      <c r="O320" s="303"/>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45"/>
      <c r="AP320" s="145"/>
    </row>
    <row r="321" spans="1:42" s="106" customFormat="1" ht="12" customHeight="1">
      <c r="A321" s="318" t="s">
        <v>45</v>
      </c>
      <c r="B321" s="318"/>
      <c r="C321" s="28">
        <f t="shared" si="93"/>
        <v>0</v>
      </c>
      <c r="D321" s="28">
        <v>0</v>
      </c>
      <c r="E321" s="28">
        <v>0</v>
      </c>
      <c r="F321" s="28">
        <v>0</v>
      </c>
      <c r="G321" s="28">
        <v>0</v>
      </c>
      <c r="H321" s="28">
        <f t="shared" si="79"/>
        <v>0</v>
      </c>
      <c r="I321" s="28">
        <v>0</v>
      </c>
      <c r="J321" s="28">
        <v>0</v>
      </c>
      <c r="K321" s="28">
        <v>0</v>
      </c>
      <c r="L321" s="309"/>
      <c r="M321" s="309"/>
      <c r="N321" s="304"/>
      <c r="O321" s="304"/>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5"/>
      <c r="AL321" s="145"/>
      <c r="AM321" s="145"/>
      <c r="AN321" s="145"/>
      <c r="AO321" s="145"/>
      <c r="AP321" s="145"/>
    </row>
    <row r="322" spans="1:42" s="106" customFormat="1" ht="12" customHeight="1">
      <c r="A322" s="318" t="s">
        <v>46</v>
      </c>
      <c r="B322" s="318"/>
      <c r="C322" s="28">
        <f t="shared" si="93"/>
        <v>175</v>
      </c>
      <c r="D322" s="28">
        <v>0</v>
      </c>
      <c r="E322" s="28">
        <v>0</v>
      </c>
      <c r="F322" s="113">
        <v>50</v>
      </c>
      <c r="G322" s="28">
        <v>125</v>
      </c>
      <c r="H322" s="28">
        <f t="shared" si="79"/>
        <v>0</v>
      </c>
      <c r="I322" s="28">
        <v>0</v>
      </c>
      <c r="J322" s="28">
        <v>0</v>
      </c>
      <c r="K322" s="28">
        <v>0</v>
      </c>
      <c r="L322" s="309"/>
      <c r="M322" s="309"/>
      <c r="N322" s="304"/>
      <c r="O322" s="304"/>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5"/>
      <c r="AL322" s="145"/>
      <c r="AM322" s="145"/>
      <c r="AN322" s="145"/>
      <c r="AO322" s="145"/>
      <c r="AP322" s="145"/>
    </row>
    <row r="323" spans="1:42" s="106" customFormat="1" ht="12" customHeight="1">
      <c r="A323" s="318" t="s">
        <v>47</v>
      </c>
      <c r="B323" s="318"/>
      <c r="C323" s="28">
        <f t="shared" si="93"/>
        <v>0</v>
      </c>
      <c r="D323" s="28">
        <v>0</v>
      </c>
      <c r="E323" s="28">
        <v>0</v>
      </c>
      <c r="F323" s="28">
        <v>0</v>
      </c>
      <c r="G323" s="28">
        <v>0</v>
      </c>
      <c r="H323" s="28">
        <f t="shared" si="79"/>
        <v>0</v>
      </c>
      <c r="I323" s="28">
        <v>0</v>
      </c>
      <c r="J323" s="28">
        <v>0</v>
      </c>
      <c r="K323" s="28">
        <v>0</v>
      </c>
      <c r="L323" s="309"/>
      <c r="M323" s="309"/>
      <c r="N323" s="304"/>
      <c r="O323" s="304"/>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5"/>
      <c r="AL323" s="145"/>
      <c r="AM323" s="145"/>
      <c r="AN323" s="145"/>
      <c r="AO323" s="145"/>
      <c r="AP323" s="145"/>
    </row>
    <row r="324" spans="1:42" s="106" customFormat="1" ht="12" customHeight="1">
      <c r="A324" s="318" t="s">
        <v>48</v>
      </c>
      <c r="B324" s="318"/>
      <c r="C324" s="28">
        <f t="shared" si="93"/>
        <v>0</v>
      </c>
      <c r="D324" s="28">
        <v>0</v>
      </c>
      <c r="E324" s="28">
        <v>0</v>
      </c>
      <c r="F324" s="28">
        <v>0</v>
      </c>
      <c r="G324" s="28">
        <v>0</v>
      </c>
      <c r="H324" s="28">
        <f t="shared" si="79"/>
        <v>0</v>
      </c>
      <c r="I324" s="28">
        <v>0</v>
      </c>
      <c r="J324" s="28">
        <v>0</v>
      </c>
      <c r="K324" s="28">
        <v>0</v>
      </c>
      <c r="L324" s="309"/>
      <c r="M324" s="309"/>
      <c r="N324" s="304"/>
      <c r="O324" s="304"/>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5"/>
      <c r="AL324" s="145"/>
      <c r="AM324" s="145"/>
      <c r="AN324" s="145"/>
      <c r="AO324" s="145"/>
      <c r="AP324" s="145"/>
    </row>
    <row r="325" spans="1:42" s="106" customFormat="1" ht="12" customHeight="1">
      <c r="A325" s="318" t="s">
        <v>49</v>
      </c>
      <c r="B325" s="318"/>
      <c r="C325" s="28">
        <f t="shared" si="93"/>
        <v>0</v>
      </c>
      <c r="D325" s="28">
        <v>0</v>
      </c>
      <c r="E325" s="28">
        <v>0</v>
      </c>
      <c r="F325" s="28">
        <v>0</v>
      </c>
      <c r="G325" s="28">
        <v>0</v>
      </c>
      <c r="H325" s="28">
        <f t="shared" si="79"/>
        <v>0</v>
      </c>
      <c r="I325" s="28">
        <v>0</v>
      </c>
      <c r="J325" s="28">
        <v>0</v>
      </c>
      <c r="K325" s="28">
        <v>0</v>
      </c>
      <c r="L325" s="309"/>
      <c r="M325" s="309"/>
      <c r="N325" s="304"/>
      <c r="O325" s="304"/>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45"/>
      <c r="AP325" s="145"/>
    </row>
    <row r="326" spans="1:42" s="106" customFormat="1" ht="129" customHeight="1">
      <c r="A326" s="356" t="s">
        <v>387</v>
      </c>
      <c r="B326" s="408"/>
      <c r="C326" s="159"/>
      <c r="D326" s="159"/>
      <c r="E326" s="159"/>
      <c r="F326" s="159"/>
      <c r="G326" s="159"/>
      <c r="H326" s="28"/>
      <c r="I326" s="28"/>
      <c r="J326" s="28"/>
      <c r="K326" s="28"/>
      <c r="L326" s="17"/>
      <c r="M326" s="17"/>
      <c r="N326" s="201"/>
      <c r="O326" s="213" t="s">
        <v>388</v>
      </c>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45"/>
      <c r="AP326" s="145"/>
    </row>
    <row r="327" spans="1:15" ht="25.5" customHeight="1">
      <c r="A327" s="441" t="s">
        <v>78</v>
      </c>
      <c r="B327" s="442"/>
      <c r="C327" s="164"/>
      <c r="D327" s="164"/>
      <c r="E327" s="164"/>
      <c r="F327" s="164"/>
      <c r="G327" s="164"/>
      <c r="H327" s="28"/>
      <c r="I327" s="164"/>
      <c r="J327" s="164"/>
      <c r="K327" s="165"/>
      <c r="L327" s="348" t="s">
        <v>269</v>
      </c>
      <c r="M327" s="348"/>
      <c r="N327" s="315" t="s">
        <v>374</v>
      </c>
      <c r="O327" s="315" t="s">
        <v>359</v>
      </c>
    </row>
    <row r="328" spans="1:15" ht="15" customHeight="1">
      <c r="A328" s="407" t="s">
        <v>52</v>
      </c>
      <c r="B328" s="407"/>
      <c r="C328" s="111">
        <f aca="true" t="shared" si="95" ref="C328:C333">SUM(E328:G328)</f>
        <v>138889.95132</v>
      </c>
      <c r="D328" s="111">
        <f aca="true" t="shared" si="96" ref="D328:K328">D329+D330+D331+D332+D333</f>
        <v>54845.46974</v>
      </c>
      <c r="E328" s="111">
        <f t="shared" si="96"/>
        <v>50287.36483</v>
      </c>
      <c r="F328" s="111">
        <f t="shared" si="96"/>
        <v>44493.9</v>
      </c>
      <c r="G328" s="28">
        <f t="shared" si="96"/>
        <v>44108.68649</v>
      </c>
      <c r="H328" s="28">
        <f t="shared" si="79"/>
        <v>122154.93</v>
      </c>
      <c r="I328" s="28">
        <f t="shared" si="96"/>
        <v>41602.31</v>
      </c>
      <c r="J328" s="28">
        <f t="shared" si="96"/>
        <v>40276.31</v>
      </c>
      <c r="K328" s="28">
        <f t="shared" si="96"/>
        <v>40276.31</v>
      </c>
      <c r="L328" s="348"/>
      <c r="M328" s="348"/>
      <c r="N328" s="315"/>
      <c r="O328" s="315"/>
    </row>
    <row r="329" spans="1:15" ht="15" customHeight="1">
      <c r="A329" s="407" t="s">
        <v>45</v>
      </c>
      <c r="B329" s="407"/>
      <c r="C329" s="111">
        <f t="shared" si="95"/>
        <v>0</v>
      </c>
      <c r="D329" s="111">
        <f aca="true" t="shared" si="97" ref="D329:F330">D336</f>
        <v>0</v>
      </c>
      <c r="E329" s="111">
        <f t="shared" si="97"/>
        <v>0</v>
      </c>
      <c r="F329" s="111">
        <f t="shared" si="97"/>
        <v>0</v>
      </c>
      <c r="G329" s="28">
        <f>G336</f>
        <v>0</v>
      </c>
      <c r="H329" s="28">
        <f t="shared" si="79"/>
        <v>0</v>
      </c>
      <c r="I329" s="111"/>
      <c r="J329" s="111"/>
      <c r="K329" s="111"/>
      <c r="L329" s="348"/>
      <c r="M329" s="348"/>
      <c r="N329" s="315"/>
      <c r="O329" s="315"/>
    </row>
    <row r="330" spans="1:15" ht="15" customHeight="1">
      <c r="A330" s="407" t="s">
        <v>46</v>
      </c>
      <c r="B330" s="407"/>
      <c r="C330" s="111">
        <f t="shared" si="95"/>
        <v>138889.95132</v>
      </c>
      <c r="D330" s="111">
        <f t="shared" si="97"/>
        <v>54845.46974</v>
      </c>
      <c r="E330" s="111">
        <f t="shared" si="97"/>
        <v>50287.36483</v>
      </c>
      <c r="F330" s="111">
        <f t="shared" si="97"/>
        <v>44493.9</v>
      </c>
      <c r="G330" s="28">
        <f>G337</f>
        <v>44108.68649</v>
      </c>
      <c r="H330" s="28">
        <f t="shared" si="79"/>
        <v>122154.93</v>
      </c>
      <c r="I330" s="28">
        <f>I337</f>
        <v>41602.31</v>
      </c>
      <c r="J330" s="28">
        <f>J337</f>
        <v>40276.31</v>
      </c>
      <c r="K330" s="28">
        <f>K337</f>
        <v>40276.31</v>
      </c>
      <c r="L330" s="348"/>
      <c r="M330" s="348"/>
      <c r="N330" s="315"/>
      <c r="O330" s="315"/>
    </row>
    <row r="331" spans="1:15" ht="15" customHeight="1">
      <c r="A331" s="407" t="s">
        <v>47</v>
      </c>
      <c r="B331" s="407"/>
      <c r="C331" s="111">
        <f t="shared" si="95"/>
        <v>0</v>
      </c>
      <c r="D331" s="111">
        <v>0</v>
      </c>
      <c r="E331" s="111">
        <v>0</v>
      </c>
      <c r="F331" s="111">
        <v>0</v>
      </c>
      <c r="G331" s="28">
        <v>0</v>
      </c>
      <c r="H331" s="28">
        <f t="shared" si="79"/>
        <v>0</v>
      </c>
      <c r="I331" s="111"/>
      <c r="J331" s="111"/>
      <c r="K331" s="111"/>
      <c r="L331" s="348"/>
      <c r="M331" s="348"/>
      <c r="N331" s="315"/>
      <c r="O331" s="315"/>
    </row>
    <row r="332" spans="1:15" ht="15" customHeight="1">
      <c r="A332" s="407" t="s">
        <v>48</v>
      </c>
      <c r="B332" s="407"/>
      <c r="C332" s="111">
        <f t="shared" si="95"/>
        <v>0</v>
      </c>
      <c r="D332" s="111">
        <f>D343</f>
        <v>0</v>
      </c>
      <c r="E332" s="111">
        <f>E343</f>
        <v>0</v>
      </c>
      <c r="F332" s="111">
        <f>F343</f>
        <v>0</v>
      </c>
      <c r="G332" s="28">
        <f>G343</f>
        <v>0</v>
      </c>
      <c r="H332" s="28">
        <f t="shared" si="79"/>
        <v>0</v>
      </c>
      <c r="I332" s="111"/>
      <c r="J332" s="111"/>
      <c r="K332" s="111"/>
      <c r="L332" s="348"/>
      <c r="M332" s="348"/>
      <c r="N332" s="315"/>
      <c r="O332" s="315"/>
    </row>
    <row r="333" spans="1:15" ht="15" customHeight="1">
      <c r="A333" s="407" t="s">
        <v>49</v>
      </c>
      <c r="B333" s="407"/>
      <c r="C333" s="111">
        <f t="shared" si="95"/>
        <v>0</v>
      </c>
      <c r="D333" s="111">
        <v>0</v>
      </c>
      <c r="E333" s="111">
        <v>0</v>
      </c>
      <c r="F333" s="111">
        <v>0</v>
      </c>
      <c r="G333" s="28">
        <v>0</v>
      </c>
      <c r="H333" s="28">
        <f t="shared" si="79"/>
        <v>0</v>
      </c>
      <c r="I333" s="111"/>
      <c r="J333" s="111"/>
      <c r="K333" s="111"/>
      <c r="L333" s="348"/>
      <c r="M333" s="348"/>
      <c r="N333" s="315"/>
      <c r="O333" s="315"/>
    </row>
    <row r="334" spans="1:15" ht="32.25" customHeight="1">
      <c r="A334" s="358" t="s">
        <v>276</v>
      </c>
      <c r="B334" s="440"/>
      <c r="C334" s="166"/>
      <c r="D334" s="166"/>
      <c r="E334" s="166"/>
      <c r="F334" s="166"/>
      <c r="G334" s="166"/>
      <c r="H334" s="28"/>
      <c r="I334" s="150"/>
      <c r="J334" s="150"/>
      <c r="K334" s="150"/>
      <c r="L334" s="348" t="s">
        <v>219</v>
      </c>
      <c r="M334" s="348"/>
      <c r="N334" s="315" t="s">
        <v>270</v>
      </c>
      <c r="O334" s="315" t="s">
        <v>251</v>
      </c>
    </row>
    <row r="335" spans="1:15" ht="15" customHeight="1">
      <c r="A335" s="371" t="s">
        <v>52</v>
      </c>
      <c r="B335" s="371"/>
      <c r="C335" s="111">
        <f aca="true" t="shared" si="98" ref="C335:C340">SUM(E335:G335)</f>
        <v>138889.95132</v>
      </c>
      <c r="D335" s="111">
        <f aca="true" t="shared" si="99" ref="D335:K335">D342</f>
        <v>54845.46974</v>
      </c>
      <c r="E335" s="111">
        <f t="shared" si="99"/>
        <v>50287.36483</v>
      </c>
      <c r="F335" s="111">
        <f t="shared" si="99"/>
        <v>44493.9</v>
      </c>
      <c r="G335" s="28">
        <f t="shared" si="99"/>
        <v>44108.68649</v>
      </c>
      <c r="H335" s="28">
        <f aca="true" t="shared" si="100" ref="H335:H398">I335+J335+K335</f>
        <v>122154.93</v>
      </c>
      <c r="I335" s="28">
        <f t="shared" si="99"/>
        <v>41602.31</v>
      </c>
      <c r="J335" s="28">
        <f t="shared" si="99"/>
        <v>40276.31</v>
      </c>
      <c r="K335" s="28">
        <f t="shared" si="99"/>
        <v>40276.31</v>
      </c>
      <c r="L335" s="348"/>
      <c r="M335" s="348"/>
      <c r="N335" s="315"/>
      <c r="O335" s="315"/>
    </row>
    <row r="336" spans="1:15" ht="15" customHeight="1">
      <c r="A336" s="371" t="s">
        <v>45</v>
      </c>
      <c r="B336" s="371"/>
      <c r="C336" s="111">
        <f t="shared" si="98"/>
        <v>0</v>
      </c>
      <c r="D336" s="111">
        <f aca="true" t="shared" si="101" ref="D336:F337">D343</f>
        <v>0</v>
      </c>
      <c r="E336" s="111">
        <f t="shared" si="101"/>
        <v>0</v>
      </c>
      <c r="F336" s="111">
        <f t="shared" si="101"/>
        <v>0</v>
      </c>
      <c r="G336" s="28">
        <f>G343</f>
        <v>0</v>
      </c>
      <c r="H336" s="28">
        <f t="shared" si="100"/>
        <v>0</v>
      </c>
      <c r="I336" s="111"/>
      <c r="J336" s="111"/>
      <c r="K336" s="111"/>
      <c r="L336" s="348"/>
      <c r="M336" s="348"/>
      <c r="N336" s="315"/>
      <c r="O336" s="315"/>
    </row>
    <row r="337" spans="1:15" ht="15" customHeight="1">
      <c r="A337" s="371" t="s">
        <v>46</v>
      </c>
      <c r="B337" s="371"/>
      <c r="C337" s="111">
        <f t="shared" si="98"/>
        <v>138889.95132</v>
      </c>
      <c r="D337" s="111">
        <f t="shared" si="101"/>
        <v>54845.46974</v>
      </c>
      <c r="E337" s="111">
        <f t="shared" si="101"/>
        <v>50287.36483</v>
      </c>
      <c r="F337" s="111">
        <f t="shared" si="101"/>
        <v>44493.9</v>
      </c>
      <c r="G337" s="28">
        <f>G344</f>
        <v>44108.68649</v>
      </c>
      <c r="H337" s="28">
        <f t="shared" si="100"/>
        <v>122154.93</v>
      </c>
      <c r="I337" s="28">
        <f>I344</f>
        <v>41602.31</v>
      </c>
      <c r="J337" s="28">
        <f>J344</f>
        <v>40276.31</v>
      </c>
      <c r="K337" s="28">
        <f>K344</f>
        <v>40276.31</v>
      </c>
      <c r="L337" s="348"/>
      <c r="M337" s="348"/>
      <c r="N337" s="315"/>
      <c r="O337" s="315"/>
    </row>
    <row r="338" spans="1:15" ht="15" customHeight="1">
      <c r="A338" s="371" t="s">
        <v>47</v>
      </c>
      <c r="B338" s="371"/>
      <c r="C338" s="111">
        <f t="shared" si="98"/>
        <v>0</v>
      </c>
      <c r="D338" s="111">
        <f aca="true" t="shared" si="102" ref="D338:F340">D345</f>
        <v>0</v>
      </c>
      <c r="E338" s="111">
        <f t="shared" si="102"/>
        <v>0</v>
      </c>
      <c r="F338" s="111">
        <f t="shared" si="102"/>
        <v>0</v>
      </c>
      <c r="G338" s="28">
        <f>G345</f>
        <v>0</v>
      </c>
      <c r="H338" s="28">
        <f t="shared" si="100"/>
        <v>0</v>
      </c>
      <c r="I338" s="111"/>
      <c r="J338" s="111"/>
      <c r="K338" s="111"/>
      <c r="L338" s="348"/>
      <c r="M338" s="348"/>
      <c r="N338" s="315"/>
      <c r="O338" s="315"/>
    </row>
    <row r="339" spans="1:15" ht="15" customHeight="1">
      <c r="A339" s="371" t="s">
        <v>48</v>
      </c>
      <c r="B339" s="371"/>
      <c r="C339" s="111">
        <f t="shared" si="98"/>
        <v>0</v>
      </c>
      <c r="D339" s="111">
        <f t="shared" si="102"/>
        <v>0</v>
      </c>
      <c r="E339" s="111">
        <f t="shared" si="102"/>
        <v>0</v>
      </c>
      <c r="F339" s="111">
        <f t="shared" si="102"/>
        <v>0</v>
      </c>
      <c r="G339" s="28">
        <f>G346</f>
        <v>0</v>
      </c>
      <c r="H339" s="28">
        <f t="shared" si="100"/>
        <v>0</v>
      </c>
      <c r="I339" s="111"/>
      <c r="J339" s="111"/>
      <c r="K339" s="111"/>
      <c r="L339" s="348"/>
      <c r="M339" s="348"/>
      <c r="N339" s="315"/>
      <c r="O339" s="315"/>
    </row>
    <row r="340" spans="1:15" ht="15" customHeight="1">
      <c r="A340" s="371" t="s">
        <v>49</v>
      </c>
      <c r="B340" s="371"/>
      <c r="C340" s="111">
        <f t="shared" si="98"/>
        <v>0</v>
      </c>
      <c r="D340" s="111">
        <f t="shared" si="102"/>
        <v>0</v>
      </c>
      <c r="E340" s="111">
        <f t="shared" si="102"/>
        <v>0</v>
      </c>
      <c r="F340" s="111">
        <f t="shared" si="102"/>
        <v>0</v>
      </c>
      <c r="G340" s="28">
        <f>G347</f>
        <v>0</v>
      </c>
      <c r="H340" s="28">
        <f t="shared" si="100"/>
        <v>0</v>
      </c>
      <c r="I340" s="111"/>
      <c r="J340" s="111"/>
      <c r="K340" s="111"/>
      <c r="L340" s="348"/>
      <c r="M340" s="348"/>
      <c r="N340" s="315"/>
      <c r="O340" s="315"/>
    </row>
    <row r="341" spans="1:42" s="10" customFormat="1" ht="29.25" customHeight="1">
      <c r="A341" s="366" t="s">
        <v>79</v>
      </c>
      <c r="B341" s="367"/>
      <c r="C341" s="166"/>
      <c r="D341" s="166"/>
      <c r="E341" s="166"/>
      <c r="F341" s="166"/>
      <c r="G341" s="166"/>
      <c r="H341" s="28"/>
      <c r="I341" s="166"/>
      <c r="J341" s="166"/>
      <c r="K341" s="167"/>
      <c r="L341" s="348" t="s">
        <v>219</v>
      </c>
      <c r="M341" s="348" t="s">
        <v>80</v>
      </c>
      <c r="N341" s="315" t="s">
        <v>270</v>
      </c>
      <c r="O341" s="315" t="s">
        <v>251</v>
      </c>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row>
    <row r="342" spans="1:15" ht="15" customHeight="1">
      <c r="A342" s="371" t="s">
        <v>52</v>
      </c>
      <c r="B342" s="371"/>
      <c r="C342" s="111">
        <f aca="true" t="shared" si="103" ref="C342:C347">SUM(E342:G342)</f>
        <v>138889.95132</v>
      </c>
      <c r="D342" s="111">
        <f aca="true" t="shared" si="104" ref="D342:K342">D343+D344+D345+D346+D347</f>
        <v>54845.46974</v>
      </c>
      <c r="E342" s="111">
        <f t="shared" si="104"/>
        <v>50287.36483</v>
      </c>
      <c r="F342" s="111">
        <f t="shared" si="104"/>
        <v>44493.9</v>
      </c>
      <c r="G342" s="28">
        <f t="shared" si="104"/>
        <v>44108.68649</v>
      </c>
      <c r="H342" s="28">
        <f t="shared" si="100"/>
        <v>122154.93</v>
      </c>
      <c r="I342" s="28">
        <f t="shared" si="104"/>
        <v>41602.31</v>
      </c>
      <c r="J342" s="28">
        <f t="shared" si="104"/>
        <v>40276.31</v>
      </c>
      <c r="K342" s="28">
        <f t="shared" si="104"/>
        <v>40276.31</v>
      </c>
      <c r="L342" s="348"/>
      <c r="M342" s="348"/>
      <c r="N342" s="315"/>
      <c r="O342" s="315"/>
    </row>
    <row r="343" spans="1:15" ht="15" customHeight="1">
      <c r="A343" s="371" t="s">
        <v>45</v>
      </c>
      <c r="B343" s="371"/>
      <c r="C343" s="111">
        <f t="shared" si="103"/>
        <v>0</v>
      </c>
      <c r="D343" s="111">
        <v>0</v>
      </c>
      <c r="E343" s="111">
        <v>0</v>
      </c>
      <c r="F343" s="111">
        <v>0</v>
      </c>
      <c r="G343" s="28">
        <v>0</v>
      </c>
      <c r="H343" s="28">
        <f t="shared" si="100"/>
        <v>0</v>
      </c>
      <c r="I343" s="111"/>
      <c r="J343" s="111"/>
      <c r="K343" s="111"/>
      <c r="L343" s="348"/>
      <c r="M343" s="348"/>
      <c r="N343" s="315"/>
      <c r="O343" s="315"/>
    </row>
    <row r="344" spans="1:15" ht="15" customHeight="1">
      <c r="A344" s="371" t="s">
        <v>54</v>
      </c>
      <c r="B344" s="371"/>
      <c r="C344" s="111">
        <f t="shared" si="103"/>
        <v>138889.95132</v>
      </c>
      <c r="D344" s="111">
        <v>54845.46974</v>
      </c>
      <c r="E344" s="111">
        <v>50287.36483</v>
      </c>
      <c r="F344" s="111">
        <v>44493.9</v>
      </c>
      <c r="G344" s="111">
        <v>44108.68649</v>
      </c>
      <c r="H344" s="28">
        <f t="shared" si="100"/>
        <v>122154.93</v>
      </c>
      <c r="I344" s="111">
        <v>41602.31</v>
      </c>
      <c r="J344" s="111">
        <v>40276.31</v>
      </c>
      <c r="K344" s="111">
        <v>40276.31</v>
      </c>
      <c r="L344" s="348"/>
      <c r="M344" s="348"/>
      <c r="N344" s="315"/>
      <c r="O344" s="315"/>
    </row>
    <row r="345" spans="1:15" ht="15" customHeight="1">
      <c r="A345" s="371" t="s">
        <v>47</v>
      </c>
      <c r="B345" s="371"/>
      <c r="C345" s="111">
        <f t="shared" si="103"/>
        <v>0</v>
      </c>
      <c r="D345" s="111">
        <v>0</v>
      </c>
      <c r="E345" s="111">
        <v>0</v>
      </c>
      <c r="F345" s="111">
        <v>0</v>
      </c>
      <c r="G345" s="28">
        <v>0</v>
      </c>
      <c r="H345" s="28">
        <f t="shared" si="100"/>
        <v>0</v>
      </c>
      <c r="I345" s="111"/>
      <c r="J345" s="111"/>
      <c r="K345" s="111"/>
      <c r="L345" s="348"/>
      <c r="M345" s="348"/>
      <c r="N345" s="315"/>
      <c r="O345" s="315"/>
    </row>
    <row r="346" spans="1:15" ht="15" customHeight="1">
      <c r="A346" s="371" t="s">
        <v>48</v>
      </c>
      <c r="B346" s="371"/>
      <c r="C346" s="111">
        <f t="shared" si="103"/>
        <v>0</v>
      </c>
      <c r="D346" s="111">
        <v>0</v>
      </c>
      <c r="E346" s="111">
        <v>0</v>
      </c>
      <c r="F346" s="111">
        <v>0</v>
      </c>
      <c r="G346" s="28">
        <v>0</v>
      </c>
      <c r="H346" s="28">
        <f t="shared" si="100"/>
        <v>0</v>
      </c>
      <c r="I346" s="111"/>
      <c r="J346" s="111"/>
      <c r="K346" s="111"/>
      <c r="L346" s="348"/>
      <c r="M346" s="348"/>
      <c r="N346" s="315"/>
      <c r="O346" s="315"/>
    </row>
    <row r="347" spans="1:15" ht="15" customHeight="1">
      <c r="A347" s="371" t="s">
        <v>49</v>
      </c>
      <c r="B347" s="371"/>
      <c r="C347" s="111">
        <f t="shared" si="103"/>
        <v>0</v>
      </c>
      <c r="D347" s="111">
        <v>0</v>
      </c>
      <c r="E347" s="111">
        <v>0</v>
      </c>
      <c r="F347" s="111">
        <v>0</v>
      </c>
      <c r="G347" s="28">
        <v>0</v>
      </c>
      <c r="H347" s="28">
        <f t="shared" si="100"/>
        <v>0</v>
      </c>
      <c r="I347" s="111"/>
      <c r="J347" s="111"/>
      <c r="K347" s="111"/>
      <c r="L347" s="348"/>
      <c r="M347" s="348"/>
      <c r="N347" s="315"/>
      <c r="O347" s="315"/>
    </row>
    <row r="348" spans="1:15" ht="31.5" customHeight="1">
      <c r="A348" s="372" t="s">
        <v>82</v>
      </c>
      <c r="B348" s="373"/>
      <c r="C348" s="168"/>
      <c r="D348" s="168"/>
      <c r="E348" s="168"/>
      <c r="F348" s="168"/>
      <c r="G348" s="168"/>
      <c r="H348" s="28"/>
      <c r="I348" s="151"/>
      <c r="J348" s="151"/>
      <c r="K348" s="151"/>
      <c r="L348" s="18"/>
      <c r="M348" s="18"/>
      <c r="N348" s="102"/>
      <c r="O348" s="102"/>
    </row>
    <row r="349" spans="1:15" ht="15" customHeight="1">
      <c r="A349" s="323" t="s">
        <v>52</v>
      </c>
      <c r="B349" s="323"/>
      <c r="C349" s="28">
        <f aca="true" t="shared" si="105" ref="C349:C356">SUM(E349:G349)</f>
        <v>1069304.3952900001</v>
      </c>
      <c r="D349" s="28">
        <f aca="true" t="shared" si="106" ref="D349:K349">D350+D351+D354+D355+D356</f>
        <v>423079.08392999996</v>
      </c>
      <c r="E349" s="28">
        <f t="shared" si="106"/>
        <v>393066.91000000003</v>
      </c>
      <c r="F349" s="28">
        <f t="shared" si="106"/>
        <v>358333.36062</v>
      </c>
      <c r="G349" s="28">
        <f>G350+G351+G354+G355+G356</f>
        <v>317904.12467000005</v>
      </c>
      <c r="H349" s="28">
        <f t="shared" si="100"/>
        <v>780528.42215</v>
      </c>
      <c r="I349" s="28">
        <f>I350+I351+I354+I355+I356</f>
        <v>319915.78215</v>
      </c>
      <c r="J349" s="28">
        <f t="shared" si="106"/>
        <v>225371.35</v>
      </c>
      <c r="K349" s="28">
        <f t="shared" si="106"/>
        <v>235241.29</v>
      </c>
      <c r="L349" s="348"/>
      <c r="M349" s="348"/>
      <c r="N349" s="315"/>
      <c r="O349" s="315"/>
    </row>
    <row r="350" spans="1:15" ht="15" customHeight="1">
      <c r="A350" s="323" t="s">
        <v>45</v>
      </c>
      <c r="B350" s="323"/>
      <c r="C350" s="28">
        <f t="shared" si="105"/>
        <v>95000</v>
      </c>
      <c r="D350" s="28">
        <f>D359+D436+D546</f>
        <v>30000</v>
      </c>
      <c r="E350" s="28">
        <f>E359+E436+E546</f>
        <v>95000</v>
      </c>
      <c r="F350" s="28">
        <f>F359+F436+F546</f>
        <v>0</v>
      </c>
      <c r="G350" s="28">
        <f>G359+G436+G546</f>
        <v>0</v>
      </c>
      <c r="H350" s="28">
        <f t="shared" si="100"/>
        <v>0</v>
      </c>
      <c r="I350" s="28">
        <f>I359+I436+I546</f>
        <v>0</v>
      </c>
      <c r="J350" s="28">
        <f>J359+J436+J546</f>
        <v>0</v>
      </c>
      <c r="K350" s="28">
        <f>K359+K436+K546</f>
        <v>0</v>
      </c>
      <c r="L350" s="348"/>
      <c r="M350" s="348"/>
      <c r="N350" s="315"/>
      <c r="O350" s="315"/>
    </row>
    <row r="351" spans="1:15" ht="15" customHeight="1">
      <c r="A351" s="378" t="s">
        <v>46</v>
      </c>
      <c r="B351" s="378"/>
      <c r="C351" s="113">
        <f t="shared" si="105"/>
        <v>967123.0890900001</v>
      </c>
      <c r="D351" s="113">
        <f aca="true" t="shared" si="107" ref="D351:K351">SUM(D352:D353)</f>
        <v>383669.49648</v>
      </c>
      <c r="E351" s="113">
        <f t="shared" si="107"/>
        <v>298066.91000000003</v>
      </c>
      <c r="F351" s="113">
        <f t="shared" si="107"/>
        <v>353438.64662</v>
      </c>
      <c r="G351" s="113">
        <f t="shared" si="107"/>
        <v>315617.53247000003</v>
      </c>
      <c r="H351" s="28">
        <f t="shared" si="100"/>
        <v>780528.42215</v>
      </c>
      <c r="I351" s="28">
        <f t="shared" si="107"/>
        <v>319915.78215</v>
      </c>
      <c r="J351" s="28">
        <f t="shared" si="107"/>
        <v>225371.35</v>
      </c>
      <c r="K351" s="28">
        <f t="shared" si="107"/>
        <v>235241.29</v>
      </c>
      <c r="L351" s="348"/>
      <c r="M351" s="348"/>
      <c r="N351" s="315"/>
      <c r="O351" s="315"/>
    </row>
    <row r="352" spans="1:15" ht="15" customHeight="1">
      <c r="A352" s="323" t="s">
        <v>46</v>
      </c>
      <c r="B352" s="323"/>
      <c r="C352" s="28">
        <f t="shared" si="105"/>
        <v>575450.18702</v>
      </c>
      <c r="D352" s="28">
        <f>D360+D437+D548+D655</f>
        <v>383273.49648</v>
      </c>
      <c r="E352" s="28">
        <f>E360+E438+E548+E655</f>
        <v>226168</v>
      </c>
      <c r="F352" s="28">
        <f>F360+F438+F548+F655</f>
        <v>289754.22952</v>
      </c>
      <c r="G352" s="28">
        <f>G360+G438+G548+G655</f>
        <v>59527.957500000004</v>
      </c>
      <c r="H352" s="28">
        <f t="shared" si="100"/>
        <v>143604.198</v>
      </c>
      <c r="I352" s="28">
        <f>I360+I438+I548+I655</f>
        <v>143604.198</v>
      </c>
      <c r="J352" s="28">
        <f>J360+J438+J548+J655</f>
        <v>0</v>
      </c>
      <c r="K352" s="28">
        <f>K360+K438+K548+K655</f>
        <v>0</v>
      </c>
      <c r="L352" s="348"/>
      <c r="M352" s="348"/>
      <c r="N352" s="315"/>
      <c r="O352" s="315"/>
    </row>
    <row r="353" spans="1:15" ht="15" customHeight="1">
      <c r="A353" s="323" t="s">
        <v>46</v>
      </c>
      <c r="B353" s="323"/>
      <c r="C353" s="28">
        <f t="shared" si="105"/>
        <v>391672.90207</v>
      </c>
      <c r="D353" s="28">
        <f>D549</f>
        <v>396</v>
      </c>
      <c r="E353" s="28">
        <f>E439+E549</f>
        <v>71898.91</v>
      </c>
      <c r="F353" s="28">
        <f>F439+F549</f>
        <v>63684.4171</v>
      </c>
      <c r="G353" s="28">
        <f>G439+G549</f>
        <v>256089.57497000002</v>
      </c>
      <c r="H353" s="28">
        <f t="shared" si="100"/>
        <v>636924.22415</v>
      </c>
      <c r="I353" s="28">
        <f>I439+I549+I672</f>
        <v>176311.58415</v>
      </c>
      <c r="J353" s="28">
        <f>J439+J549+J672</f>
        <v>225371.35</v>
      </c>
      <c r="K353" s="28">
        <f>K439+K549+K672</f>
        <v>235241.29</v>
      </c>
      <c r="L353" s="348"/>
      <c r="M353" s="348"/>
      <c r="N353" s="315"/>
      <c r="O353" s="315"/>
    </row>
    <row r="354" spans="1:15" ht="15" customHeight="1">
      <c r="A354" s="323" t="s">
        <v>47</v>
      </c>
      <c r="B354" s="323"/>
      <c r="C354" s="28">
        <f t="shared" si="105"/>
        <v>7181.3062</v>
      </c>
      <c r="D354" s="28">
        <f aca="true" t="shared" si="108" ref="D354:G356">D361+D440+D550</f>
        <v>9409.58745</v>
      </c>
      <c r="E354" s="28">
        <f t="shared" si="108"/>
        <v>0</v>
      </c>
      <c r="F354" s="28">
        <f t="shared" si="108"/>
        <v>4894.714</v>
      </c>
      <c r="G354" s="28">
        <f t="shared" si="108"/>
        <v>2286.5922</v>
      </c>
      <c r="H354" s="28">
        <f t="shared" si="100"/>
        <v>0</v>
      </c>
      <c r="I354" s="28">
        <f aca="true" t="shared" si="109" ref="I354:K356">I361+I440+I550</f>
        <v>0</v>
      </c>
      <c r="J354" s="28">
        <f t="shared" si="109"/>
        <v>0</v>
      </c>
      <c r="K354" s="28">
        <f t="shared" si="109"/>
        <v>0</v>
      </c>
      <c r="L354" s="348"/>
      <c r="M354" s="348"/>
      <c r="N354" s="315"/>
      <c r="O354" s="315"/>
    </row>
    <row r="355" spans="1:15" ht="15" customHeight="1">
      <c r="A355" s="323" t="s">
        <v>48</v>
      </c>
      <c r="B355" s="323"/>
      <c r="C355" s="28">
        <f t="shared" si="105"/>
        <v>0</v>
      </c>
      <c r="D355" s="28">
        <f t="shared" si="108"/>
        <v>0</v>
      </c>
      <c r="E355" s="28">
        <f t="shared" si="108"/>
        <v>0</v>
      </c>
      <c r="F355" s="28">
        <f t="shared" si="108"/>
        <v>0</v>
      </c>
      <c r="G355" s="28">
        <f t="shared" si="108"/>
        <v>0</v>
      </c>
      <c r="H355" s="28">
        <f t="shared" si="100"/>
        <v>0</v>
      </c>
      <c r="I355" s="28">
        <f t="shared" si="109"/>
        <v>0</v>
      </c>
      <c r="J355" s="28">
        <f t="shared" si="109"/>
        <v>0</v>
      </c>
      <c r="K355" s="28">
        <f t="shared" si="109"/>
        <v>0</v>
      </c>
      <c r="L355" s="348"/>
      <c r="M355" s="348"/>
      <c r="N355" s="315"/>
      <c r="O355" s="315"/>
    </row>
    <row r="356" spans="1:15" ht="15" customHeight="1">
      <c r="A356" s="323" t="s">
        <v>49</v>
      </c>
      <c r="B356" s="323"/>
      <c r="C356" s="28">
        <f t="shared" si="105"/>
        <v>0</v>
      </c>
      <c r="D356" s="28">
        <f t="shared" si="108"/>
        <v>0</v>
      </c>
      <c r="E356" s="28">
        <f t="shared" si="108"/>
        <v>0</v>
      </c>
      <c r="F356" s="28">
        <f t="shared" si="108"/>
        <v>0</v>
      </c>
      <c r="G356" s="28">
        <f t="shared" si="108"/>
        <v>0</v>
      </c>
      <c r="H356" s="28">
        <f t="shared" si="100"/>
        <v>0</v>
      </c>
      <c r="I356" s="28">
        <f t="shared" si="109"/>
        <v>0</v>
      </c>
      <c r="J356" s="28">
        <f t="shared" si="109"/>
        <v>0</v>
      </c>
      <c r="K356" s="28">
        <f t="shared" si="109"/>
        <v>0</v>
      </c>
      <c r="L356" s="348"/>
      <c r="M356" s="348"/>
      <c r="N356" s="315"/>
      <c r="O356" s="315"/>
    </row>
    <row r="357" spans="1:15" ht="99" customHeight="1">
      <c r="A357" s="321" t="s">
        <v>415</v>
      </c>
      <c r="B357" s="322"/>
      <c r="C357" s="154"/>
      <c r="D357" s="154"/>
      <c r="E357" s="154"/>
      <c r="F357" s="154"/>
      <c r="G357" s="154"/>
      <c r="H357" s="28"/>
      <c r="I357" s="28"/>
      <c r="J357" s="28"/>
      <c r="K357" s="28"/>
      <c r="L357" s="348" t="s">
        <v>249</v>
      </c>
      <c r="M357" s="348" t="s">
        <v>170</v>
      </c>
      <c r="N357" s="315"/>
      <c r="O357" s="315"/>
    </row>
    <row r="358" spans="1:15" ht="15" customHeight="1">
      <c r="A358" s="323" t="s">
        <v>52</v>
      </c>
      <c r="B358" s="323"/>
      <c r="C358" s="28">
        <f aca="true" t="shared" si="110" ref="C358:C363">SUM(E358:G358)</f>
        <v>31987.675</v>
      </c>
      <c r="D358" s="28">
        <f aca="true" t="shared" si="111" ref="D358:K358">D359+D360+D361+D362+D363</f>
        <v>69562.40193</v>
      </c>
      <c r="E358" s="28">
        <f t="shared" si="111"/>
        <v>0</v>
      </c>
      <c r="F358" s="28">
        <f t="shared" si="111"/>
        <v>20554.714</v>
      </c>
      <c r="G358" s="28">
        <f t="shared" si="111"/>
        <v>11432.961</v>
      </c>
      <c r="H358" s="28">
        <f t="shared" si="100"/>
        <v>0</v>
      </c>
      <c r="I358" s="28">
        <f t="shared" si="111"/>
        <v>0</v>
      </c>
      <c r="J358" s="28">
        <f t="shared" si="111"/>
        <v>0</v>
      </c>
      <c r="K358" s="28">
        <f t="shared" si="111"/>
        <v>0</v>
      </c>
      <c r="L358" s="348"/>
      <c r="M358" s="348"/>
      <c r="N358" s="315"/>
      <c r="O358" s="315"/>
    </row>
    <row r="359" spans="1:15" ht="15" customHeight="1">
      <c r="A359" s="323" t="s">
        <v>45</v>
      </c>
      <c r="B359" s="323"/>
      <c r="C359" s="28">
        <f t="shared" si="110"/>
        <v>0</v>
      </c>
      <c r="D359" s="28">
        <f>D366+D373+D380+D387+D394+D401</f>
        <v>0</v>
      </c>
      <c r="E359" s="28">
        <f aca="true" t="shared" si="112" ref="E359:G363">E366+E373+E380+E387+E394+E401+E408+E415</f>
        <v>0</v>
      </c>
      <c r="F359" s="28">
        <f t="shared" si="112"/>
        <v>0</v>
      </c>
      <c r="G359" s="28">
        <f t="shared" si="112"/>
        <v>0</v>
      </c>
      <c r="H359" s="28">
        <f t="shared" si="100"/>
        <v>0</v>
      </c>
      <c r="I359" s="28">
        <f>I366+I373+I380+I387+I394+I401</f>
        <v>0</v>
      </c>
      <c r="J359" s="28">
        <f>J366+J373+J380+J387+J394+J401</f>
        <v>0</v>
      </c>
      <c r="K359" s="28">
        <f>K366+K373+K380+K387+K394+K401</f>
        <v>0</v>
      </c>
      <c r="L359" s="348"/>
      <c r="M359" s="348"/>
      <c r="N359" s="315"/>
      <c r="O359" s="315"/>
    </row>
    <row r="360" spans="1:15" ht="15" customHeight="1">
      <c r="A360" s="323" t="s">
        <v>46</v>
      </c>
      <c r="B360" s="323"/>
      <c r="C360" s="28">
        <f t="shared" si="110"/>
        <v>24806.3688</v>
      </c>
      <c r="D360" s="28">
        <f>D367+D374+D381+D388+D395+D402+D409</f>
        <v>60152.81448</v>
      </c>
      <c r="E360" s="28">
        <f t="shared" si="112"/>
        <v>0</v>
      </c>
      <c r="F360" s="28">
        <f t="shared" si="112"/>
        <v>15660</v>
      </c>
      <c r="G360" s="28">
        <f t="shared" si="112"/>
        <v>9146.3688</v>
      </c>
      <c r="H360" s="28">
        <f t="shared" si="100"/>
        <v>0</v>
      </c>
      <c r="I360" s="28">
        <f>I367+I374+I381+I388+I395+I402+I409</f>
        <v>0</v>
      </c>
      <c r="J360" s="28">
        <v>0</v>
      </c>
      <c r="K360" s="28">
        <v>0</v>
      </c>
      <c r="L360" s="348"/>
      <c r="M360" s="348"/>
      <c r="N360" s="315"/>
      <c r="O360" s="315"/>
    </row>
    <row r="361" spans="1:15" ht="15" customHeight="1">
      <c r="A361" s="323" t="s">
        <v>47</v>
      </c>
      <c r="B361" s="323"/>
      <c r="C361" s="28">
        <f t="shared" si="110"/>
        <v>7181.3062</v>
      </c>
      <c r="D361" s="28">
        <f>D368+D375+D382+D389+D396+D403+D410</f>
        <v>9409.58745</v>
      </c>
      <c r="E361" s="28">
        <f t="shared" si="112"/>
        <v>0</v>
      </c>
      <c r="F361" s="28">
        <f t="shared" si="112"/>
        <v>4894.714</v>
      </c>
      <c r="G361" s="28">
        <f t="shared" si="112"/>
        <v>2286.5922</v>
      </c>
      <c r="H361" s="28">
        <f t="shared" si="100"/>
        <v>0</v>
      </c>
      <c r="I361" s="28">
        <f>I368+I375+I382+I389+I396+I403+I410</f>
        <v>0</v>
      </c>
      <c r="J361" s="28">
        <f aca="true" t="shared" si="113" ref="J361:K363">J368+J375+J382+J389+J396+J403+J410</f>
        <v>0</v>
      </c>
      <c r="K361" s="28">
        <f t="shared" si="113"/>
        <v>0</v>
      </c>
      <c r="L361" s="348"/>
      <c r="M361" s="348"/>
      <c r="N361" s="315"/>
      <c r="O361" s="315"/>
    </row>
    <row r="362" spans="1:15" ht="15" customHeight="1">
      <c r="A362" s="323" t="s">
        <v>48</v>
      </c>
      <c r="B362" s="323"/>
      <c r="C362" s="28">
        <f t="shared" si="110"/>
        <v>0</v>
      </c>
      <c r="D362" s="28">
        <f>D369+D376+D383+D390+D397+D404+D411</f>
        <v>0</v>
      </c>
      <c r="E362" s="28">
        <f t="shared" si="112"/>
        <v>0</v>
      </c>
      <c r="F362" s="28">
        <f t="shared" si="112"/>
        <v>0</v>
      </c>
      <c r="G362" s="28">
        <f t="shared" si="112"/>
        <v>0</v>
      </c>
      <c r="H362" s="28">
        <f t="shared" si="100"/>
        <v>0</v>
      </c>
      <c r="I362" s="28">
        <f>I369+I376+I383+I390+I397+I404+I411</f>
        <v>0</v>
      </c>
      <c r="J362" s="28">
        <f t="shared" si="113"/>
        <v>0</v>
      </c>
      <c r="K362" s="28">
        <f t="shared" si="113"/>
        <v>0</v>
      </c>
      <c r="L362" s="348"/>
      <c r="M362" s="348"/>
      <c r="N362" s="315"/>
      <c r="O362" s="315"/>
    </row>
    <row r="363" spans="1:15" ht="15" customHeight="1">
      <c r="A363" s="323" t="s">
        <v>49</v>
      </c>
      <c r="B363" s="323"/>
      <c r="C363" s="28">
        <f t="shared" si="110"/>
        <v>0</v>
      </c>
      <c r="D363" s="28">
        <f>D370+D377+D384+D391+D398+D405+D412</f>
        <v>0</v>
      </c>
      <c r="E363" s="28">
        <f t="shared" si="112"/>
        <v>0</v>
      </c>
      <c r="F363" s="28">
        <f t="shared" si="112"/>
        <v>0</v>
      </c>
      <c r="G363" s="28">
        <f t="shared" si="112"/>
        <v>0</v>
      </c>
      <c r="H363" s="28">
        <f t="shared" si="100"/>
        <v>0</v>
      </c>
      <c r="I363" s="28">
        <f>I370+I377+I384+I391+I398+I405+I412</f>
        <v>0</v>
      </c>
      <c r="J363" s="28">
        <f t="shared" si="113"/>
        <v>0</v>
      </c>
      <c r="K363" s="28">
        <f t="shared" si="113"/>
        <v>0</v>
      </c>
      <c r="L363" s="348"/>
      <c r="M363" s="348"/>
      <c r="N363" s="315"/>
      <c r="O363" s="315"/>
    </row>
    <row r="364" spans="1:15" ht="48" customHeight="1">
      <c r="A364" s="329" t="s">
        <v>166</v>
      </c>
      <c r="B364" s="330"/>
      <c r="C364" s="330"/>
      <c r="D364" s="330"/>
      <c r="E364" s="330"/>
      <c r="F364" s="330"/>
      <c r="G364" s="331"/>
      <c r="H364" s="28"/>
      <c r="I364" s="28"/>
      <c r="J364" s="28"/>
      <c r="K364" s="28"/>
      <c r="L364" s="348" t="s">
        <v>249</v>
      </c>
      <c r="M364" s="348" t="s">
        <v>170</v>
      </c>
      <c r="N364" s="347"/>
      <c r="O364" s="347"/>
    </row>
    <row r="365" spans="1:15" ht="15" customHeight="1">
      <c r="A365" s="323" t="s">
        <v>52</v>
      </c>
      <c r="B365" s="323"/>
      <c r="C365" s="28">
        <f aca="true" t="shared" si="114" ref="C365:C370">SUM(E365:G365)</f>
        <v>0</v>
      </c>
      <c r="D365" s="28">
        <f aca="true" t="shared" si="115" ref="D365:K365">D366+D367+D368+D369+D370</f>
        <v>1152.3</v>
      </c>
      <c r="E365" s="28">
        <f t="shared" si="115"/>
        <v>0</v>
      </c>
      <c r="F365" s="28">
        <f t="shared" si="115"/>
        <v>0</v>
      </c>
      <c r="G365" s="28">
        <f>G366+G367+G368+G369+G370</f>
        <v>0</v>
      </c>
      <c r="H365" s="28">
        <f t="shared" si="100"/>
        <v>0</v>
      </c>
      <c r="I365" s="28">
        <f>I366+I367+I368+I369+I370</f>
        <v>0</v>
      </c>
      <c r="J365" s="28">
        <f t="shared" si="115"/>
        <v>0</v>
      </c>
      <c r="K365" s="28">
        <f t="shared" si="115"/>
        <v>0</v>
      </c>
      <c r="L365" s="348"/>
      <c r="M365" s="348"/>
      <c r="N365" s="347"/>
      <c r="O365" s="347"/>
    </row>
    <row r="366" spans="1:15" ht="15" customHeight="1">
      <c r="A366" s="323" t="s">
        <v>45</v>
      </c>
      <c r="B366" s="323"/>
      <c r="C366" s="28">
        <f t="shared" si="114"/>
        <v>0</v>
      </c>
      <c r="D366" s="28">
        <v>0</v>
      </c>
      <c r="E366" s="28">
        <v>0</v>
      </c>
      <c r="F366" s="28">
        <v>0</v>
      </c>
      <c r="G366" s="28">
        <v>0</v>
      </c>
      <c r="H366" s="28">
        <f t="shared" si="100"/>
        <v>0</v>
      </c>
      <c r="I366" s="28">
        <v>0</v>
      </c>
      <c r="J366" s="28">
        <v>0</v>
      </c>
      <c r="K366" s="28">
        <v>0</v>
      </c>
      <c r="L366" s="348"/>
      <c r="M366" s="348"/>
      <c r="N366" s="347"/>
      <c r="O366" s="347"/>
    </row>
    <row r="367" spans="1:15" ht="15" customHeight="1">
      <c r="A367" s="323" t="s">
        <v>46</v>
      </c>
      <c r="B367" s="323"/>
      <c r="C367" s="28">
        <f t="shared" si="114"/>
        <v>0</v>
      </c>
      <c r="D367" s="28">
        <v>980</v>
      </c>
      <c r="E367" s="28">
        <v>0</v>
      </c>
      <c r="F367" s="28">
        <v>0</v>
      </c>
      <c r="G367" s="28">
        <v>0</v>
      </c>
      <c r="H367" s="28">
        <f t="shared" si="100"/>
        <v>0</v>
      </c>
      <c r="I367" s="28">
        <v>0</v>
      </c>
      <c r="J367" s="28">
        <v>0</v>
      </c>
      <c r="K367" s="28">
        <v>0</v>
      </c>
      <c r="L367" s="348"/>
      <c r="M367" s="348"/>
      <c r="N367" s="347"/>
      <c r="O367" s="347"/>
    </row>
    <row r="368" spans="1:15" ht="15" customHeight="1">
      <c r="A368" s="323" t="s">
        <v>47</v>
      </c>
      <c r="B368" s="323"/>
      <c r="C368" s="28">
        <f>SUM(E368:G368)</f>
        <v>0</v>
      </c>
      <c r="D368" s="28">
        <v>172.3</v>
      </c>
      <c r="E368" s="28">
        <v>0</v>
      </c>
      <c r="F368" s="28">
        <v>0</v>
      </c>
      <c r="G368" s="28">
        <v>0</v>
      </c>
      <c r="H368" s="28">
        <f t="shared" si="100"/>
        <v>0</v>
      </c>
      <c r="I368" s="28">
        <v>0</v>
      </c>
      <c r="J368" s="28">
        <v>0</v>
      </c>
      <c r="K368" s="28">
        <v>0</v>
      </c>
      <c r="L368" s="348"/>
      <c r="M368" s="348"/>
      <c r="N368" s="347"/>
      <c r="O368" s="347"/>
    </row>
    <row r="369" spans="1:15" ht="15" customHeight="1">
      <c r="A369" s="323" t="s">
        <v>48</v>
      </c>
      <c r="B369" s="323"/>
      <c r="C369" s="28">
        <f t="shared" si="114"/>
        <v>0</v>
      </c>
      <c r="D369" s="28">
        <v>0</v>
      </c>
      <c r="E369" s="28">
        <v>0</v>
      </c>
      <c r="F369" s="28">
        <v>0</v>
      </c>
      <c r="G369" s="28">
        <v>0</v>
      </c>
      <c r="H369" s="28">
        <f t="shared" si="100"/>
        <v>0</v>
      </c>
      <c r="I369" s="28">
        <v>0</v>
      </c>
      <c r="J369" s="28">
        <v>0</v>
      </c>
      <c r="K369" s="28">
        <v>0</v>
      </c>
      <c r="L369" s="348"/>
      <c r="M369" s="348"/>
      <c r="N369" s="347"/>
      <c r="O369" s="347"/>
    </row>
    <row r="370" spans="1:15" ht="15" customHeight="1">
      <c r="A370" s="323" t="s">
        <v>49</v>
      </c>
      <c r="B370" s="323"/>
      <c r="C370" s="28">
        <f t="shared" si="114"/>
        <v>0</v>
      </c>
      <c r="D370" s="28">
        <v>0</v>
      </c>
      <c r="E370" s="28">
        <v>0</v>
      </c>
      <c r="F370" s="28">
        <v>0</v>
      </c>
      <c r="G370" s="28">
        <v>0</v>
      </c>
      <c r="H370" s="28">
        <f t="shared" si="100"/>
        <v>0</v>
      </c>
      <c r="I370" s="28">
        <v>0</v>
      </c>
      <c r="J370" s="28">
        <v>0</v>
      </c>
      <c r="K370" s="28">
        <v>0</v>
      </c>
      <c r="L370" s="348"/>
      <c r="M370" s="348"/>
      <c r="N370" s="347"/>
      <c r="O370" s="347"/>
    </row>
    <row r="371" spans="1:15" ht="25.5" customHeight="1">
      <c r="A371" s="329" t="s">
        <v>199</v>
      </c>
      <c r="B371" s="330"/>
      <c r="C371" s="330"/>
      <c r="D371" s="330"/>
      <c r="E371" s="330"/>
      <c r="F371" s="330"/>
      <c r="G371" s="331"/>
      <c r="H371" s="28"/>
      <c r="I371" s="28"/>
      <c r="J371" s="28"/>
      <c r="K371" s="28"/>
      <c r="L371" s="348" t="s">
        <v>249</v>
      </c>
      <c r="M371" s="348" t="s">
        <v>170</v>
      </c>
      <c r="N371" s="347"/>
      <c r="O371" s="347"/>
    </row>
    <row r="372" spans="1:15" ht="15" customHeight="1">
      <c r="A372" s="323" t="s">
        <v>52</v>
      </c>
      <c r="B372" s="323"/>
      <c r="C372" s="28">
        <f aca="true" t="shared" si="116" ref="C372:C377">SUM(E372:G372)</f>
        <v>0</v>
      </c>
      <c r="D372" s="28">
        <f aca="true" t="shared" si="117" ref="D372:K372">D373+D374+D375+D376+D377</f>
        <v>31042.88</v>
      </c>
      <c r="E372" s="28">
        <f t="shared" si="117"/>
        <v>0</v>
      </c>
      <c r="F372" s="28">
        <f t="shared" si="117"/>
        <v>0</v>
      </c>
      <c r="G372" s="28">
        <f t="shared" si="117"/>
        <v>0</v>
      </c>
      <c r="H372" s="28">
        <f t="shared" si="100"/>
        <v>0</v>
      </c>
      <c r="I372" s="28">
        <f t="shared" si="117"/>
        <v>0</v>
      </c>
      <c r="J372" s="28">
        <f t="shared" si="117"/>
        <v>0</v>
      </c>
      <c r="K372" s="28">
        <f t="shared" si="117"/>
        <v>0</v>
      </c>
      <c r="L372" s="348"/>
      <c r="M372" s="348"/>
      <c r="N372" s="347"/>
      <c r="O372" s="347"/>
    </row>
    <row r="373" spans="1:15" ht="15" customHeight="1">
      <c r="A373" s="323" t="s">
        <v>45</v>
      </c>
      <c r="B373" s="323"/>
      <c r="C373" s="28">
        <f t="shared" si="116"/>
        <v>0</v>
      </c>
      <c r="D373" s="28">
        <v>0</v>
      </c>
      <c r="E373" s="28">
        <v>0</v>
      </c>
      <c r="F373" s="28">
        <v>0</v>
      </c>
      <c r="G373" s="28">
        <v>0</v>
      </c>
      <c r="H373" s="28">
        <f t="shared" si="100"/>
        <v>0</v>
      </c>
      <c r="I373" s="28">
        <v>0</v>
      </c>
      <c r="J373" s="28">
        <v>0</v>
      </c>
      <c r="K373" s="28">
        <v>0</v>
      </c>
      <c r="L373" s="348"/>
      <c r="M373" s="348"/>
      <c r="N373" s="347"/>
      <c r="O373" s="347"/>
    </row>
    <row r="374" spans="1:15" ht="15" customHeight="1">
      <c r="A374" s="323" t="s">
        <v>46</v>
      </c>
      <c r="B374" s="323"/>
      <c r="C374" s="28">
        <f t="shared" si="116"/>
        <v>0</v>
      </c>
      <c r="D374" s="28">
        <v>26395</v>
      </c>
      <c r="E374" s="28">
        <v>0</v>
      </c>
      <c r="F374" s="28">
        <v>0</v>
      </c>
      <c r="G374" s="28">
        <v>0</v>
      </c>
      <c r="H374" s="28">
        <f t="shared" si="100"/>
        <v>0</v>
      </c>
      <c r="I374" s="28"/>
      <c r="J374" s="28">
        <v>0</v>
      </c>
      <c r="K374" s="28">
        <v>0</v>
      </c>
      <c r="L374" s="348"/>
      <c r="M374" s="348"/>
      <c r="N374" s="347"/>
      <c r="O374" s="347"/>
    </row>
    <row r="375" spans="1:15" ht="15" customHeight="1">
      <c r="A375" s="323" t="s">
        <v>47</v>
      </c>
      <c r="B375" s="323"/>
      <c r="C375" s="28">
        <f t="shared" si="116"/>
        <v>0</v>
      </c>
      <c r="D375" s="28">
        <v>4647.88</v>
      </c>
      <c r="E375" s="28">
        <v>0</v>
      </c>
      <c r="F375" s="28">
        <v>0</v>
      </c>
      <c r="G375" s="28">
        <v>0</v>
      </c>
      <c r="H375" s="28">
        <f t="shared" si="100"/>
        <v>0</v>
      </c>
      <c r="I375" s="28">
        <v>0</v>
      </c>
      <c r="J375" s="28">
        <v>0</v>
      </c>
      <c r="K375" s="28">
        <v>0</v>
      </c>
      <c r="L375" s="348"/>
      <c r="M375" s="348"/>
      <c r="N375" s="347"/>
      <c r="O375" s="347"/>
    </row>
    <row r="376" spans="1:15" ht="15" customHeight="1">
      <c r="A376" s="323" t="s">
        <v>48</v>
      </c>
      <c r="B376" s="323"/>
      <c r="C376" s="28">
        <f t="shared" si="116"/>
        <v>0</v>
      </c>
      <c r="D376" s="28">
        <v>0</v>
      </c>
      <c r="E376" s="28">
        <v>0</v>
      </c>
      <c r="F376" s="28">
        <v>0</v>
      </c>
      <c r="G376" s="28">
        <v>0</v>
      </c>
      <c r="H376" s="28">
        <f t="shared" si="100"/>
        <v>0</v>
      </c>
      <c r="I376" s="28">
        <v>0</v>
      </c>
      <c r="J376" s="28">
        <v>0</v>
      </c>
      <c r="K376" s="28">
        <v>0</v>
      </c>
      <c r="L376" s="348"/>
      <c r="M376" s="348"/>
      <c r="N376" s="347"/>
      <c r="O376" s="347"/>
    </row>
    <row r="377" spans="1:15" ht="15" customHeight="1">
      <c r="A377" s="323" t="s">
        <v>49</v>
      </c>
      <c r="B377" s="323"/>
      <c r="C377" s="28">
        <f t="shared" si="116"/>
        <v>0</v>
      </c>
      <c r="D377" s="28">
        <v>0</v>
      </c>
      <c r="E377" s="28">
        <v>0</v>
      </c>
      <c r="F377" s="28">
        <v>0</v>
      </c>
      <c r="G377" s="28">
        <v>0</v>
      </c>
      <c r="H377" s="28">
        <f t="shared" si="100"/>
        <v>0</v>
      </c>
      <c r="I377" s="28">
        <v>0</v>
      </c>
      <c r="J377" s="28">
        <v>0</v>
      </c>
      <c r="K377" s="28">
        <v>0</v>
      </c>
      <c r="L377" s="348"/>
      <c r="M377" s="348"/>
      <c r="N377" s="347"/>
      <c r="O377" s="347"/>
    </row>
    <row r="378" spans="1:15" ht="49.5" customHeight="1">
      <c r="A378" s="329" t="s">
        <v>243</v>
      </c>
      <c r="B378" s="330"/>
      <c r="C378" s="330"/>
      <c r="D378" s="330"/>
      <c r="E378" s="330"/>
      <c r="F378" s="330"/>
      <c r="G378" s="331"/>
      <c r="H378" s="28"/>
      <c r="I378" s="28"/>
      <c r="J378" s="28"/>
      <c r="K378" s="28"/>
      <c r="L378" s="348" t="s">
        <v>249</v>
      </c>
      <c r="M378" s="348" t="s">
        <v>170</v>
      </c>
      <c r="N378" s="315"/>
      <c r="O378" s="315"/>
    </row>
    <row r="379" spans="1:15" ht="15" customHeight="1">
      <c r="A379" s="323" t="s">
        <v>52</v>
      </c>
      <c r="B379" s="323"/>
      <c r="C379" s="28">
        <f aca="true" t="shared" si="118" ref="C379:C384">SUM(E379:G379)</f>
        <v>0</v>
      </c>
      <c r="D379" s="28">
        <f aca="true" t="shared" si="119" ref="D379:K379">D380+D381+D382+D383+D384</f>
        <v>0</v>
      </c>
      <c r="E379" s="28">
        <f t="shared" si="119"/>
        <v>0</v>
      </c>
      <c r="F379" s="28">
        <f t="shared" si="119"/>
        <v>0</v>
      </c>
      <c r="G379" s="28">
        <f t="shared" si="119"/>
        <v>0</v>
      </c>
      <c r="H379" s="28">
        <f t="shared" si="100"/>
        <v>0</v>
      </c>
      <c r="I379" s="28">
        <f t="shared" si="119"/>
        <v>0</v>
      </c>
      <c r="J379" s="28">
        <f t="shared" si="119"/>
        <v>0</v>
      </c>
      <c r="K379" s="28">
        <f t="shared" si="119"/>
        <v>0</v>
      </c>
      <c r="L379" s="348"/>
      <c r="M379" s="348"/>
      <c r="N379" s="315"/>
      <c r="O379" s="315"/>
    </row>
    <row r="380" spans="1:15" ht="15" customHeight="1">
      <c r="A380" s="323" t="s">
        <v>45</v>
      </c>
      <c r="B380" s="323"/>
      <c r="C380" s="28">
        <f t="shared" si="118"/>
        <v>0</v>
      </c>
      <c r="D380" s="28">
        <v>0</v>
      </c>
      <c r="E380" s="28">
        <v>0</v>
      </c>
      <c r="F380" s="28">
        <v>0</v>
      </c>
      <c r="G380" s="28">
        <v>0</v>
      </c>
      <c r="H380" s="28">
        <f t="shared" si="100"/>
        <v>0</v>
      </c>
      <c r="I380" s="28">
        <v>0</v>
      </c>
      <c r="J380" s="28">
        <v>0</v>
      </c>
      <c r="K380" s="28">
        <v>0</v>
      </c>
      <c r="L380" s="348"/>
      <c r="M380" s="348"/>
      <c r="N380" s="315"/>
      <c r="O380" s="315"/>
    </row>
    <row r="381" spans="1:15" ht="15" customHeight="1">
      <c r="A381" s="323" t="s">
        <v>46</v>
      </c>
      <c r="B381" s="323"/>
      <c r="C381" s="28">
        <f t="shared" si="118"/>
        <v>0</v>
      </c>
      <c r="D381" s="28">
        <v>0</v>
      </c>
      <c r="E381" s="28">
        <v>0</v>
      </c>
      <c r="F381" s="28">
        <v>0</v>
      </c>
      <c r="G381" s="28">
        <v>0</v>
      </c>
      <c r="H381" s="28">
        <f t="shared" si="100"/>
        <v>0</v>
      </c>
      <c r="I381" s="28">
        <v>0</v>
      </c>
      <c r="J381" s="28">
        <v>0</v>
      </c>
      <c r="K381" s="28">
        <v>0</v>
      </c>
      <c r="L381" s="348"/>
      <c r="M381" s="348"/>
      <c r="N381" s="315"/>
      <c r="O381" s="315"/>
    </row>
    <row r="382" spans="1:15" ht="15" customHeight="1">
      <c r="A382" s="323" t="s">
        <v>47</v>
      </c>
      <c r="B382" s="323"/>
      <c r="C382" s="28">
        <f t="shared" si="118"/>
        <v>0</v>
      </c>
      <c r="D382" s="28">
        <v>0</v>
      </c>
      <c r="E382" s="28">
        <v>0</v>
      </c>
      <c r="F382" s="28">
        <v>0</v>
      </c>
      <c r="G382" s="28">
        <v>0</v>
      </c>
      <c r="H382" s="28">
        <f t="shared" si="100"/>
        <v>0</v>
      </c>
      <c r="I382" s="28">
        <v>0</v>
      </c>
      <c r="J382" s="28">
        <v>0</v>
      </c>
      <c r="K382" s="28">
        <v>0</v>
      </c>
      <c r="L382" s="348"/>
      <c r="M382" s="348"/>
      <c r="N382" s="315"/>
      <c r="O382" s="315"/>
    </row>
    <row r="383" spans="1:15" ht="15" customHeight="1">
      <c r="A383" s="323" t="s">
        <v>48</v>
      </c>
      <c r="B383" s="323"/>
      <c r="C383" s="28">
        <f t="shared" si="118"/>
        <v>0</v>
      </c>
      <c r="D383" s="28">
        <v>0</v>
      </c>
      <c r="E383" s="28">
        <v>0</v>
      </c>
      <c r="F383" s="28">
        <v>0</v>
      </c>
      <c r="G383" s="28">
        <v>0</v>
      </c>
      <c r="H383" s="28">
        <f t="shared" si="100"/>
        <v>0</v>
      </c>
      <c r="I383" s="28">
        <v>0</v>
      </c>
      <c r="J383" s="28">
        <v>0</v>
      </c>
      <c r="K383" s="28">
        <v>0</v>
      </c>
      <c r="L383" s="348"/>
      <c r="M383" s="348"/>
      <c r="N383" s="315"/>
      <c r="O383" s="315"/>
    </row>
    <row r="384" spans="1:15" ht="15" customHeight="1">
      <c r="A384" s="323" t="s">
        <v>49</v>
      </c>
      <c r="B384" s="323"/>
      <c r="C384" s="28">
        <f t="shared" si="118"/>
        <v>0</v>
      </c>
      <c r="D384" s="28">
        <v>0</v>
      </c>
      <c r="E384" s="28">
        <v>0</v>
      </c>
      <c r="F384" s="28">
        <v>0</v>
      </c>
      <c r="G384" s="28">
        <v>0</v>
      </c>
      <c r="H384" s="28">
        <f t="shared" si="100"/>
        <v>0</v>
      </c>
      <c r="I384" s="28">
        <v>0</v>
      </c>
      <c r="J384" s="28">
        <v>0</v>
      </c>
      <c r="K384" s="28">
        <v>0</v>
      </c>
      <c r="L384" s="348"/>
      <c r="M384" s="348"/>
      <c r="N384" s="315"/>
      <c r="O384" s="315"/>
    </row>
    <row r="385" spans="1:15" ht="51.75" customHeight="1">
      <c r="A385" s="329" t="s">
        <v>165</v>
      </c>
      <c r="B385" s="330"/>
      <c r="C385" s="330"/>
      <c r="D385" s="330"/>
      <c r="E385" s="330"/>
      <c r="F385" s="330"/>
      <c r="G385" s="331"/>
      <c r="H385" s="28"/>
      <c r="I385" s="28"/>
      <c r="J385" s="28"/>
      <c r="K385" s="28"/>
      <c r="L385" s="348" t="s">
        <v>249</v>
      </c>
      <c r="M385" s="348" t="s">
        <v>170</v>
      </c>
      <c r="N385" s="315"/>
      <c r="O385" s="315"/>
    </row>
    <row r="386" spans="1:15" ht="15" customHeight="1">
      <c r="A386" s="323" t="s">
        <v>52</v>
      </c>
      <c r="B386" s="323"/>
      <c r="C386" s="28">
        <f aca="true" t="shared" si="120" ref="C386:C391">SUM(E386:G386)</f>
        <v>0</v>
      </c>
      <c r="D386" s="28">
        <f aca="true" t="shared" si="121" ref="D386:K386">D387+D388+D389+D390+D391</f>
        <v>3055.59593</v>
      </c>
      <c r="E386" s="28">
        <f t="shared" si="121"/>
        <v>0</v>
      </c>
      <c r="F386" s="28">
        <f t="shared" si="121"/>
        <v>0</v>
      </c>
      <c r="G386" s="28">
        <f t="shared" si="121"/>
        <v>0</v>
      </c>
      <c r="H386" s="28">
        <f t="shared" si="100"/>
        <v>0</v>
      </c>
      <c r="I386" s="28">
        <f t="shared" si="121"/>
        <v>0</v>
      </c>
      <c r="J386" s="28">
        <f t="shared" si="121"/>
        <v>0</v>
      </c>
      <c r="K386" s="28">
        <f t="shared" si="121"/>
        <v>0</v>
      </c>
      <c r="L386" s="348"/>
      <c r="M386" s="348"/>
      <c r="N386" s="315"/>
      <c r="O386" s="315"/>
    </row>
    <row r="387" spans="1:15" ht="15" customHeight="1">
      <c r="A387" s="323" t="s">
        <v>45</v>
      </c>
      <c r="B387" s="323"/>
      <c r="C387" s="28">
        <f t="shared" si="120"/>
        <v>0</v>
      </c>
      <c r="D387" s="28">
        <v>0</v>
      </c>
      <c r="E387" s="28">
        <v>0</v>
      </c>
      <c r="F387" s="28">
        <v>0</v>
      </c>
      <c r="G387" s="28">
        <v>0</v>
      </c>
      <c r="H387" s="28">
        <f t="shared" si="100"/>
        <v>0</v>
      </c>
      <c r="I387" s="28">
        <v>0</v>
      </c>
      <c r="J387" s="28">
        <v>0</v>
      </c>
      <c r="K387" s="28">
        <v>0</v>
      </c>
      <c r="L387" s="348"/>
      <c r="M387" s="348"/>
      <c r="N387" s="315"/>
      <c r="O387" s="315"/>
    </row>
    <row r="388" spans="1:15" ht="15" customHeight="1">
      <c r="A388" s="323" t="s">
        <v>46</v>
      </c>
      <c r="B388" s="323"/>
      <c r="C388" s="28">
        <f t="shared" si="120"/>
        <v>0</v>
      </c>
      <c r="D388" s="28">
        <v>2777.81448</v>
      </c>
      <c r="E388" s="28">
        <v>0</v>
      </c>
      <c r="F388" s="28">
        <v>0</v>
      </c>
      <c r="G388" s="28">
        <v>0</v>
      </c>
      <c r="H388" s="28">
        <f t="shared" si="100"/>
        <v>0</v>
      </c>
      <c r="I388" s="28">
        <v>0</v>
      </c>
      <c r="J388" s="28">
        <v>0</v>
      </c>
      <c r="K388" s="28">
        <v>0</v>
      </c>
      <c r="L388" s="348"/>
      <c r="M388" s="348"/>
      <c r="N388" s="315"/>
      <c r="O388" s="315"/>
    </row>
    <row r="389" spans="1:42" s="10" customFormat="1" ht="15" customHeight="1">
      <c r="A389" s="323" t="s">
        <v>47</v>
      </c>
      <c r="B389" s="323"/>
      <c r="C389" s="28">
        <f t="shared" si="120"/>
        <v>0</v>
      </c>
      <c r="D389" s="28">
        <v>277.78145</v>
      </c>
      <c r="E389" s="28">
        <v>0</v>
      </c>
      <c r="F389" s="28">
        <v>0</v>
      </c>
      <c r="G389" s="28">
        <v>0</v>
      </c>
      <c r="H389" s="28">
        <f t="shared" si="100"/>
        <v>0</v>
      </c>
      <c r="I389" s="28">
        <v>0</v>
      </c>
      <c r="J389" s="28">
        <v>0</v>
      </c>
      <c r="K389" s="28">
        <v>0</v>
      </c>
      <c r="L389" s="348"/>
      <c r="M389" s="348"/>
      <c r="N389" s="315"/>
      <c r="O389" s="315"/>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row>
    <row r="390" spans="1:15" ht="15" customHeight="1">
      <c r="A390" s="323" t="s">
        <v>48</v>
      </c>
      <c r="B390" s="323"/>
      <c r="C390" s="28">
        <f t="shared" si="120"/>
        <v>0</v>
      </c>
      <c r="D390" s="28">
        <v>0</v>
      </c>
      <c r="E390" s="28">
        <v>0</v>
      </c>
      <c r="F390" s="28">
        <v>0</v>
      </c>
      <c r="G390" s="28">
        <v>0</v>
      </c>
      <c r="H390" s="28">
        <f t="shared" si="100"/>
        <v>0</v>
      </c>
      <c r="I390" s="28">
        <v>0</v>
      </c>
      <c r="J390" s="28">
        <v>0</v>
      </c>
      <c r="K390" s="28">
        <v>0</v>
      </c>
      <c r="L390" s="348"/>
      <c r="M390" s="348"/>
      <c r="N390" s="315"/>
      <c r="O390" s="315"/>
    </row>
    <row r="391" spans="1:15" ht="15" customHeight="1">
      <c r="A391" s="323" t="s">
        <v>49</v>
      </c>
      <c r="B391" s="323"/>
      <c r="C391" s="28">
        <f t="shared" si="120"/>
        <v>0</v>
      </c>
      <c r="D391" s="28">
        <v>0</v>
      </c>
      <c r="E391" s="28">
        <v>0</v>
      </c>
      <c r="F391" s="28">
        <v>0</v>
      </c>
      <c r="G391" s="28">
        <v>0</v>
      </c>
      <c r="H391" s="28">
        <f t="shared" si="100"/>
        <v>0</v>
      </c>
      <c r="I391" s="28">
        <v>0</v>
      </c>
      <c r="J391" s="28">
        <v>0</v>
      </c>
      <c r="K391" s="28">
        <v>0</v>
      </c>
      <c r="L391" s="348"/>
      <c r="M391" s="348"/>
      <c r="N391" s="315"/>
      <c r="O391" s="315"/>
    </row>
    <row r="392" spans="1:15" ht="44.25" customHeight="1">
      <c r="A392" s="329" t="s">
        <v>83</v>
      </c>
      <c r="B392" s="330"/>
      <c r="C392" s="330"/>
      <c r="D392" s="330"/>
      <c r="E392" s="330"/>
      <c r="F392" s="330"/>
      <c r="G392" s="331"/>
      <c r="H392" s="28"/>
      <c r="I392" s="28"/>
      <c r="J392" s="28"/>
      <c r="K392" s="28"/>
      <c r="L392" s="348" t="s">
        <v>249</v>
      </c>
      <c r="M392" s="348" t="s">
        <v>170</v>
      </c>
      <c r="N392" s="347"/>
      <c r="O392" s="347"/>
    </row>
    <row r="393" spans="1:15" ht="15" customHeight="1">
      <c r="A393" s="323" t="s">
        <v>52</v>
      </c>
      <c r="B393" s="323"/>
      <c r="C393" s="28">
        <f aca="true" t="shared" si="122" ref="C393:C398">SUM(E393:G393)</f>
        <v>0</v>
      </c>
      <c r="D393" s="28">
        <v>0</v>
      </c>
      <c r="E393" s="28">
        <v>0</v>
      </c>
      <c r="F393" s="28">
        <f aca="true" t="shared" si="123" ref="F393:K393">F394+F395+F396+F397+F398</f>
        <v>0</v>
      </c>
      <c r="G393" s="28">
        <f t="shared" si="123"/>
        <v>0</v>
      </c>
      <c r="H393" s="28">
        <f t="shared" si="100"/>
        <v>0</v>
      </c>
      <c r="I393" s="28">
        <f t="shared" si="123"/>
        <v>0</v>
      </c>
      <c r="J393" s="28">
        <f t="shared" si="123"/>
        <v>0</v>
      </c>
      <c r="K393" s="28">
        <f t="shared" si="123"/>
        <v>0</v>
      </c>
      <c r="L393" s="348"/>
      <c r="M393" s="348"/>
      <c r="N393" s="347"/>
      <c r="O393" s="347"/>
    </row>
    <row r="394" spans="1:15" ht="15" customHeight="1">
      <c r="A394" s="323" t="s">
        <v>45</v>
      </c>
      <c r="B394" s="323"/>
      <c r="C394" s="28">
        <f t="shared" si="122"/>
        <v>0</v>
      </c>
      <c r="D394" s="28">
        <v>0</v>
      </c>
      <c r="E394" s="28">
        <v>0</v>
      </c>
      <c r="F394" s="28">
        <v>0</v>
      </c>
      <c r="G394" s="28">
        <v>0</v>
      </c>
      <c r="H394" s="28">
        <f t="shared" si="100"/>
        <v>0</v>
      </c>
      <c r="I394" s="28">
        <v>0</v>
      </c>
      <c r="J394" s="28">
        <v>0</v>
      </c>
      <c r="K394" s="28">
        <v>0</v>
      </c>
      <c r="L394" s="348"/>
      <c r="M394" s="348"/>
      <c r="N394" s="347"/>
      <c r="O394" s="347"/>
    </row>
    <row r="395" spans="1:15" ht="15" customHeight="1">
      <c r="A395" s="323" t="s">
        <v>46</v>
      </c>
      <c r="B395" s="323"/>
      <c r="C395" s="28">
        <f t="shared" si="122"/>
        <v>0</v>
      </c>
      <c r="D395" s="28">
        <v>0</v>
      </c>
      <c r="E395" s="28">
        <v>0</v>
      </c>
      <c r="F395" s="28">
        <v>0</v>
      </c>
      <c r="G395" s="28">
        <v>0</v>
      </c>
      <c r="H395" s="28">
        <f t="shared" si="100"/>
        <v>0</v>
      </c>
      <c r="I395" s="28">
        <v>0</v>
      </c>
      <c r="J395" s="28">
        <v>0</v>
      </c>
      <c r="K395" s="28">
        <v>0</v>
      </c>
      <c r="L395" s="348"/>
      <c r="M395" s="348"/>
      <c r="N395" s="347"/>
      <c r="O395" s="347"/>
    </row>
    <row r="396" spans="1:15" ht="15" customHeight="1">
      <c r="A396" s="323" t="s">
        <v>47</v>
      </c>
      <c r="B396" s="323"/>
      <c r="C396" s="28">
        <f t="shared" si="122"/>
        <v>0</v>
      </c>
      <c r="D396" s="28">
        <v>0</v>
      </c>
      <c r="E396" s="28">
        <v>0</v>
      </c>
      <c r="F396" s="28">
        <v>0</v>
      </c>
      <c r="G396" s="28">
        <v>0</v>
      </c>
      <c r="H396" s="28">
        <f t="shared" si="100"/>
        <v>0</v>
      </c>
      <c r="I396" s="28">
        <v>0</v>
      </c>
      <c r="J396" s="28">
        <v>0</v>
      </c>
      <c r="K396" s="28">
        <v>0</v>
      </c>
      <c r="L396" s="348"/>
      <c r="M396" s="348"/>
      <c r="N396" s="347"/>
      <c r="O396" s="347"/>
    </row>
    <row r="397" spans="1:15" ht="15" customHeight="1">
      <c r="A397" s="323" t="s">
        <v>48</v>
      </c>
      <c r="B397" s="323"/>
      <c r="C397" s="28">
        <f t="shared" si="122"/>
        <v>0</v>
      </c>
      <c r="D397" s="28">
        <v>0</v>
      </c>
      <c r="E397" s="28">
        <v>0</v>
      </c>
      <c r="F397" s="28">
        <v>0</v>
      </c>
      <c r="G397" s="28">
        <v>0</v>
      </c>
      <c r="H397" s="28">
        <f t="shared" si="100"/>
        <v>0</v>
      </c>
      <c r="I397" s="28">
        <v>0</v>
      </c>
      <c r="J397" s="28">
        <v>0</v>
      </c>
      <c r="K397" s="28">
        <v>0</v>
      </c>
      <c r="L397" s="348"/>
      <c r="M397" s="348"/>
      <c r="N397" s="347"/>
      <c r="O397" s="347"/>
    </row>
    <row r="398" spans="1:15" ht="15" customHeight="1">
      <c r="A398" s="323" t="s">
        <v>49</v>
      </c>
      <c r="B398" s="323"/>
      <c r="C398" s="28">
        <f t="shared" si="122"/>
        <v>0</v>
      </c>
      <c r="D398" s="28">
        <v>0</v>
      </c>
      <c r="E398" s="28">
        <v>0</v>
      </c>
      <c r="F398" s="28">
        <v>0</v>
      </c>
      <c r="G398" s="28">
        <v>0</v>
      </c>
      <c r="H398" s="28">
        <f t="shared" si="100"/>
        <v>0</v>
      </c>
      <c r="I398" s="28">
        <v>0</v>
      </c>
      <c r="J398" s="28">
        <v>0</v>
      </c>
      <c r="K398" s="28">
        <v>0</v>
      </c>
      <c r="L398" s="348"/>
      <c r="M398" s="348"/>
      <c r="N398" s="347"/>
      <c r="O398" s="347"/>
    </row>
    <row r="399" spans="1:15" ht="55.5" customHeight="1">
      <c r="A399" s="329" t="s">
        <v>244</v>
      </c>
      <c r="B399" s="330"/>
      <c r="C399" s="330"/>
      <c r="D399" s="330"/>
      <c r="E399" s="330"/>
      <c r="F399" s="330"/>
      <c r="G399" s="331"/>
      <c r="H399" s="28"/>
      <c r="I399" s="28"/>
      <c r="J399" s="28"/>
      <c r="K399" s="28"/>
      <c r="L399" s="348" t="s">
        <v>249</v>
      </c>
      <c r="M399" s="348" t="s">
        <v>170</v>
      </c>
      <c r="N399" s="347"/>
      <c r="O399" s="347"/>
    </row>
    <row r="400" spans="1:15" ht="15" customHeight="1">
      <c r="A400" s="323" t="s">
        <v>52</v>
      </c>
      <c r="B400" s="323"/>
      <c r="C400" s="28">
        <f aca="true" t="shared" si="124" ref="C400:C405">SUM(E400:G400)</f>
        <v>0</v>
      </c>
      <c r="D400" s="28">
        <f aca="true" t="shared" si="125" ref="D400:K400">D401+D402+D403+D404+D405</f>
        <v>0</v>
      </c>
      <c r="E400" s="28">
        <v>0</v>
      </c>
      <c r="F400" s="28">
        <f t="shared" si="125"/>
        <v>0</v>
      </c>
      <c r="G400" s="28">
        <f t="shared" si="125"/>
        <v>0</v>
      </c>
      <c r="H400" s="28">
        <f aca="true" t="shared" si="126" ref="H400:H462">I400+J400+K400</f>
        <v>0</v>
      </c>
      <c r="I400" s="28">
        <f t="shared" si="125"/>
        <v>0</v>
      </c>
      <c r="J400" s="28">
        <f t="shared" si="125"/>
        <v>0</v>
      </c>
      <c r="K400" s="28">
        <f t="shared" si="125"/>
        <v>0</v>
      </c>
      <c r="L400" s="348"/>
      <c r="M400" s="348"/>
      <c r="N400" s="347"/>
      <c r="O400" s="347"/>
    </row>
    <row r="401" spans="1:15" ht="15" customHeight="1">
      <c r="A401" s="323" t="s">
        <v>45</v>
      </c>
      <c r="B401" s="323"/>
      <c r="C401" s="28">
        <f t="shared" si="124"/>
        <v>0</v>
      </c>
      <c r="D401" s="28">
        <v>0</v>
      </c>
      <c r="E401" s="28">
        <v>0</v>
      </c>
      <c r="F401" s="28">
        <v>0</v>
      </c>
      <c r="G401" s="28">
        <v>0</v>
      </c>
      <c r="H401" s="28">
        <f t="shared" si="126"/>
        <v>0</v>
      </c>
      <c r="I401" s="28">
        <v>0</v>
      </c>
      <c r="J401" s="28">
        <v>0</v>
      </c>
      <c r="K401" s="28">
        <v>0</v>
      </c>
      <c r="L401" s="348"/>
      <c r="M401" s="348"/>
      <c r="N401" s="347"/>
      <c r="O401" s="347"/>
    </row>
    <row r="402" spans="1:15" ht="15" customHeight="1">
      <c r="A402" s="323" t="s">
        <v>46</v>
      </c>
      <c r="B402" s="323"/>
      <c r="C402" s="28">
        <f t="shared" si="124"/>
        <v>0</v>
      </c>
      <c r="D402" s="28">
        <v>0</v>
      </c>
      <c r="E402" s="28">
        <v>0</v>
      </c>
      <c r="F402" s="28">
        <v>0</v>
      </c>
      <c r="G402" s="28">
        <v>0</v>
      </c>
      <c r="H402" s="28">
        <f t="shared" si="126"/>
        <v>0</v>
      </c>
      <c r="I402" s="28">
        <v>0</v>
      </c>
      <c r="J402" s="28">
        <v>0</v>
      </c>
      <c r="K402" s="28">
        <v>0</v>
      </c>
      <c r="L402" s="348"/>
      <c r="M402" s="348"/>
      <c r="N402" s="347"/>
      <c r="O402" s="347"/>
    </row>
    <row r="403" spans="1:15" ht="15" customHeight="1">
      <c r="A403" s="323" t="s">
        <v>47</v>
      </c>
      <c r="B403" s="323"/>
      <c r="C403" s="28">
        <f t="shared" si="124"/>
        <v>0</v>
      </c>
      <c r="D403" s="28">
        <v>0</v>
      </c>
      <c r="E403" s="28">
        <v>0</v>
      </c>
      <c r="F403" s="28">
        <v>0</v>
      </c>
      <c r="G403" s="28">
        <v>0</v>
      </c>
      <c r="H403" s="28">
        <f t="shared" si="126"/>
        <v>0</v>
      </c>
      <c r="I403" s="28">
        <v>0</v>
      </c>
      <c r="J403" s="28">
        <v>0</v>
      </c>
      <c r="K403" s="28">
        <v>0</v>
      </c>
      <c r="L403" s="348"/>
      <c r="M403" s="348"/>
      <c r="N403" s="347"/>
      <c r="O403" s="347"/>
    </row>
    <row r="404" spans="1:15" ht="15" customHeight="1">
      <c r="A404" s="323" t="s">
        <v>48</v>
      </c>
      <c r="B404" s="323"/>
      <c r="C404" s="28">
        <f t="shared" si="124"/>
        <v>0</v>
      </c>
      <c r="D404" s="28">
        <v>0</v>
      </c>
      <c r="E404" s="28">
        <v>0</v>
      </c>
      <c r="F404" s="28">
        <v>0</v>
      </c>
      <c r="G404" s="28">
        <v>0</v>
      </c>
      <c r="H404" s="28">
        <f t="shared" si="126"/>
        <v>0</v>
      </c>
      <c r="I404" s="28">
        <v>0</v>
      </c>
      <c r="J404" s="28">
        <v>0</v>
      </c>
      <c r="K404" s="28">
        <v>0</v>
      </c>
      <c r="L404" s="348"/>
      <c r="M404" s="348"/>
      <c r="N404" s="347"/>
      <c r="O404" s="347"/>
    </row>
    <row r="405" spans="1:15" ht="15" customHeight="1">
      <c r="A405" s="323" t="s">
        <v>49</v>
      </c>
      <c r="B405" s="323"/>
      <c r="C405" s="28">
        <f t="shared" si="124"/>
        <v>0</v>
      </c>
      <c r="D405" s="28">
        <v>0</v>
      </c>
      <c r="E405" s="28">
        <v>0</v>
      </c>
      <c r="F405" s="28">
        <v>0</v>
      </c>
      <c r="G405" s="28">
        <v>0</v>
      </c>
      <c r="H405" s="28">
        <f t="shared" si="126"/>
        <v>0</v>
      </c>
      <c r="I405" s="28">
        <v>0</v>
      </c>
      <c r="J405" s="28">
        <v>0</v>
      </c>
      <c r="K405" s="28">
        <v>0</v>
      </c>
      <c r="L405" s="348"/>
      <c r="M405" s="348"/>
      <c r="N405" s="347"/>
      <c r="O405" s="347"/>
    </row>
    <row r="406" spans="1:15" ht="41.25" customHeight="1">
      <c r="A406" s="329" t="s">
        <v>164</v>
      </c>
      <c r="B406" s="330"/>
      <c r="C406" s="330"/>
      <c r="D406" s="330"/>
      <c r="E406" s="330"/>
      <c r="F406" s="330"/>
      <c r="G406" s="331"/>
      <c r="H406" s="28"/>
      <c r="I406" s="28"/>
      <c r="J406" s="28"/>
      <c r="K406" s="28"/>
      <c r="L406" s="348" t="s">
        <v>218</v>
      </c>
      <c r="M406" s="348" t="s">
        <v>170</v>
      </c>
      <c r="N406" s="315"/>
      <c r="O406" s="315"/>
    </row>
    <row r="407" spans="1:15" ht="15" customHeight="1">
      <c r="A407" s="323" t="s">
        <v>52</v>
      </c>
      <c r="B407" s="323"/>
      <c r="C407" s="28">
        <f aca="true" t="shared" si="127" ref="C407:C412">SUM(E407:G407)</f>
        <v>0</v>
      </c>
      <c r="D407" s="28">
        <f>SUM(D408:D412)</f>
        <v>34311.626000000004</v>
      </c>
      <c r="E407" s="28">
        <f>SUM(E408:E412)</f>
        <v>0</v>
      </c>
      <c r="F407" s="28">
        <f>SUM(F408:F412)</f>
        <v>0</v>
      </c>
      <c r="G407" s="28">
        <f>SUM(G408:G412)</f>
        <v>0</v>
      </c>
      <c r="H407" s="28">
        <f t="shared" si="126"/>
        <v>0</v>
      </c>
      <c r="I407" s="28">
        <f>I408+I409+I410</f>
        <v>0</v>
      </c>
      <c r="J407" s="28">
        <f>J408+J409+J410</f>
        <v>0</v>
      </c>
      <c r="K407" s="28">
        <f>K408+K409+K410</f>
        <v>0</v>
      </c>
      <c r="L407" s="348"/>
      <c r="M407" s="348"/>
      <c r="N407" s="315"/>
      <c r="O407" s="315"/>
    </row>
    <row r="408" spans="1:15" ht="15" customHeight="1">
      <c r="A408" s="323" t="s">
        <v>45</v>
      </c>
      <c r="B408" s="323"/>
      <c r="C408" s="28">
        <f t="shared" si="127"/>
        <v>0</v>
      </c>
      <c r="D408" s="28">
        <v>0</v>
      </c>
      <c r="E408" s="28">
        <v>0</v>
      </c>
      <c r="F408" s="28">
        <v>0</v>
      </c>
      <c r="G408" s="28">
        <v>0</v>
      </c>
      <c r="H408" s="28">
        <f t="shared" si="126"/>
        <v>0</v>
      </c>
      <c r="I408" s="28">
        <f>I409+I410+I411+I412</f>
        <v>0</v>
      </c>
      <c r="J408" s="28">
        <v>0</v>
      </c>
      <c r="K408" s="28">
        <v>0</v>
      </c>
      <c r="L408" s="348"/>
      <c r="M408" s="348"/>
      <c r="N408" s="315"/>
      <c r="O408" s="315"/>
    </row>
    <row r="409" spans="1:15" ht="15" customHeight="1">
      <c r="A409" s="323" t="s">
        <v>46</v>
      </c>
      <c r="B409" s="323"/>
      <c r="C409" s="28">
        <f t="shared" si="127"/>
        <v>0</v>
      </c>
      <c r="D409" s="28">
        <v>30000</v>
      </c>
      <c r="E409" s="28">
        <v>0</v>
      </c>
      <c r="F409" s="28">
        <v>0</v>
      </c>
      <c r="G409" s="28">
        <v>0</v>
      </c>
      <c r="H409" s="28">
        <f t="shared" si="126"/>
        <v>0</v>
      </c>
      <c r="I409" s="28">
        <v>0</v>
      </c>
      <c r="J409" s="28">
        <v>0</v>
      </c>
      <c r="K409" s="28">
        <v>0</v>
      </c>
      <c r="L409" s="348"/>
      <c r="M409" s="348"/>
      <c r="N409" s="315"/>
      <c r="O409" s="315"/>
    </row>
    <row r="410" spans="1:15" ht="15" customHeight="1">
      <c r="A410" s="323" t="s">
        <v>47</v>
      </c>
      <c r="B410" s="323"/>
      <c r="C410" s="28">
        <f t="shared" si="127"/>
        <v>0</v>
      </c>
      <c r="D410" s="28">
        <v>4311.626</v>
      </c>
      <c r="E410" s="28">
        <v>0</v>
      </c>
      <c r="F410" s="28">
        <v>0</v>
      </c>
      <c r="G410" s="28">
        <v>0</v>
      </c>
      <c r="H410" s="28">
        <f t="shared" si="126"/>
        <v>0</v>
      </c>
      <c r="I410" s="28">
        <v>0</v>
      </c>
      <c r="J410" s="28">
        <v>0</v>
      </c>
      <c r="K410" s="28">
        <v>0</v>
      </c>
      <c r="L410" s="348"/>
      <c r="M410" s="348"/>
      <c r="N410" s="315"/>
      <c r="O410" s="315"/>
    </row>
    <row r="411" spans="1:15" ht="15" customHeight="1">
      <c r="A411" s="323" t="s">
        <v>48</v>
      </c>
      <c r="B411" s="323"/>
      <c r="C411" s="28">
        <f t="shared" si="127"/>
        <v>0</v>
      </c>
      <c r="D411" s="28">
        <v>0</v>
      </c>
      <c r="E411" s="28">
        <v>0</v>
      </c>
      <c r="F411" s="28">
        <v>0</v>
      </c>
      <c r="G411" s="28">
        <v>0</v>
      </c>
      <c r="H411" s="28">
        <f t="shared" si="126"/>
        <v>0</v>
      </c>
      <c r="I411" s="28">
        <v>0</v>
      </c>
      <c r="J411" s="28">
        <v>0</v>
      </c>
      <c r="K411" s="28">
        <v>0</v>
      </c>
      <c r="L411" s="348"/>
      <c r="M411" s="348"/>
      <c r="N411" s="315"/>
      <c r="O411" s="315"/>
    </row>
    <row r="412" spans="1:15" ht="15" customHeight="1">
      <c r="A412" s="323" t="s">
        <v>49</v>
      </c>
      <c r="B412" s="323"/>
      <c r="C412" s="28">
        <f t="shared" si="127"/>
        <v>0</v>
      </c>
      <c r="D412" s="28">
        <v>0</v>
      </c>
      <c r="E412" s="28">
        <v>0</v>
      </c>
      <c r="F412" s="28">
        <v>0</v>
      </c>
      <c r="G412" s="28">
        <v>0</v>
      </c>
      <c r="H412" s="28">
        <f t="shared" si="126"/>
        <v>0</v>
      </c>
      <c r="I412" s="28">
        <v>0</v>
      </c>
      <c r="J412" s="28">
        <v>0</v>
      </c>
      <c r="K412" s="28">
        <v>0</v>
      </c>
      <c r="L412" s="348"/>
      <c r="M412" s="348"/>
      <c r="N412" s="315"/>
      <c r="O412" s="315"/>
    </row>
    <row r="413" spans="1:42" s="10" customFormat="1" ht="34.5" customHeight="1">
      <c r="A413" s="329" t="s">
        <v>6</v>
      </c>
      <c r="B413" s="330"/>
      <c r="C413" s="330"/>
      <c r="D413" s="330"/>
      <c r="E413" s="330"/>
      <c r="F413" s="330"/>
      <c r="G413" s="331"/>
      <c r="H413" s="28"/>
      <c r="I413" s="28"/>
      <c r="J413" s="28"/>
      <c r="K413" s="28"/>
      <c r="L413" s="348" t="s">
        <v>218</v>
      </c>
      <c r="M413" s="348" t="s">
        <v>170</v>
      </c>
      <c r="N413" s="315"/>
      <c r="O413" s="315"/>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row>
    <row r="414" spans="1:42" s="10" customFormat="1" ht="15" customHeight="1">
      <c r="A414" s="323" t="s">
        <v>52</v>
      </c>
      <c r="B414" s="323"/>
      <c r="C414" s="28">
        <f aca="true" t="shared" si="128" ref="C414:C419">SUM(E414:G414)</f>
        <v>31987.675</v>
      </c>
      <c r="D414" s="28">
        <f>SUM(D415:D419)</f>
        <v>0</v>
      </c>
      <c r="E414" s="28">
        <f>SUM(E415:E419)</f>
        <v>0</v>
      </c>
      <c r="F414" s="28">
        <f>SUM(F415:F419)</f>
        <v>20554.714</v>
      </c>
      <c r="G414" s="28">
        <f>SUM(G415:G419)</f>
        <v>11432.961</v>
      </c>
      <c r="H414" s="28">
        <f t="shared" si="126"/>
        <v>0</v>
      </c>
      <c r="I414" s="28">
        <f>I415+I416+I417+I418+I419</f>
        <v>0</v>
      </c>
      <c r="J414" s="28">
        <f>J415+J416+J417+J418+J419</f>
        <v>0</v>
      </c>
      <c r="K414" s="28">
        <f>K415+K416+K417+K418+K419</f>
        <v>0</v>
      </c>
      <c r="L414" s="348"/>
      <c r="M414" s="348"/>
      <c r="N414" s="315"/>
      <c r="O414" s="315"/>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row>
    <row r="415" spans="1:42" s="10" customFormat="1" ht="15" customHeight="1">
      <c r="A415" s="323" t="s">
        <v>45</v>
      </c>
      <c r="B415" s="323"/>
      <c r="C415" s="28">
        <f t="shared" si="128"/>
        <v>0</v>
      </c>
      <c r="D415" s="28">
        <v>0</v>
      </c>
      <c r="E415" s="28">
        <v>0</v>
      </c>
      <c r="F415" s="28">
        <v>0</v>
      </c>
      <c r="G415" s="28">
        <v>0</v>
      </c>
      <c r="H415" s="28">
        <f t="shared" si="126"/>
        <v>0</v>
      </c>
      <c r="I415" s="28">
        <v>0</v>
      </c>
      <c r="J415" s="28">
        <v>0</v>
      </c>
      <c r="K415" s="28">
        <v>0</v>
      </c>
      <c r="L415" s="348"/>
      <c r="M415" s="348"/>
      <c r="N415" s="315"/>
      <c r="O415" s="315"/>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row>
    <row r="416" spans="1:42" s="10" customFormat="1" ht="15" customHeight="1">
      <c r="A416" s="323" t="s">
        <v>46</v>
      </c>
      <c r="B416" s="323"/>
      <c r="C416" s="28">
        <f t="shared" si="128"/>
        <v>24806.3688</v>
      </c>
      <c r="D416" s="28">
        <v>0</v>
      </c>
      <c r="E416" s="28">
        <v>0</v>
      </c>
      <c r="F416" s="28">
        <v>15660</v>
      </c>
      <c r="G416" s="28">
        <v>9146.3688</v>
      </c>
      <c r="H416" s="28">
        <f t="shared" si="126"/>
        <v>0</v>
      </c>
      <c r="I416" s="28">
        <v>0</v>
      </c>
      <c r="J416" s="28">
        <v>0</v>
      </c>
      <c r="K416" s="28">
        <v>0</v>
      </c>
      <c r="L416" s="348"/>
      <c r="M416" s="348"/>
      <c r="N416" s="315"/>
      <c r="O416" s="315"/>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row>
    <row r="417" spans="1:42" s="10" customFormat="1" ht="15" customHeight="1">
      <c r="A417" s="323" t="s">
        <v>47</v>
      </c>
      <c r="B417" s="323"/>
      <c r="C417" s="28">
        <f t="shared" si="128"/>
        <v>7181.3062</v>
      </c>
      <c r="D417" s="28">
        <v>0</v>
      </c>
      <c r="E417" s="28">
        <v>0</v>
      </c>
      <c r="F417" s="28">
        <v>4894.714</v>
      </c>
      <c r="G417" s="28">
        <v>2286.5922</v>
      </c>
      <c r="H417" s="28">
        <f t="shared" si="126"/>
        <v>0</v>
      </c>
      <c r="I417" s="28">
        <v>0</v>
      </c>
      <c r="J417" s="28">
        <v>0</v>
      </c>
      <c r="K417" s="28">
        <v>0</v>
      </c>
      <c r="L417" s="348"/>
      <c r="M417" s="348"/>
      <c r="N417" s="315"/>
      <c r="O417" s="315"/>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row>
    <row r="418" spans="1:42" s="10" customFormat="1" ht="15" customHeight="1">
      <c r="A418" s="323" t="s">
        <v>48</v>
      </c>
      <c r="B418" s="323"/>
      <c r="C418" s="28">
        <f t="shared" si="128"/>
        <v>0</v>
      </c>
      <c r="D418" s="28">
        <v>0</v>
      </c>
      <c r="E418" s="28">
        <v>0</v>
      </c>
      <c r="F418" s="28">
        <v>0</v>
      </c>
      <c r="G418" s="28">
        <v>0</v>
      </c>
      <c r="H418" s="28">
        <f t="shared" si="126"/>
        <v>0</v>
      </c>
      <c r="I418" s="28">
        <v>0</v>
      </c>
      <c r="J418" s="28">
        <v>0</v>
      </c>
      <c r="K418" s="28">
        <v>0</v>
      </c>
      <c r="L418" s="348"/>
      <c r="M418" s="348"/>
      <c r="N418" s="315"/>
      <c r="O418" s="315"/>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row>
    <row r="419" spans="1:42" s="10" customFormat="1" ht="15" customHeight="1">
      <c r="A419" s="323" t="s">
        <v>49</v>
      </c>
      <c r="B419" s="323"/>
      <c r="C419" s="28">
        <f t="shared" si="128"/>
        <v>0</v>
      </c>
      <c r="D419" s="28">
        <v>0</v>
      </c>
      <c r="E419" s="28">
        <v>0</v>
      </c>
      <c r="F419" s="28">
        <v>0</v>
      </c>
      <c r="G419" s="28">
        <v>0</v>
      </c>
      <c r="H419" s="28">
        <f t="shared" si="126"/>
        <v>0</v>
      </c>
      <c r="I419" s="28">
        <v>0</v>
      </c>
      <c r="J419" s="28">
        <v>0</v>
      </c>
      <c r="K419" s="28">
        <v>0</v>
      </c>
      <c r="L419" s="348"/>
      <c r="M419" s="348"/>
      <c r="N419" s="315"/>
      <c r="O419" s="315"/>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row>
    <row r="420" spans="1:42" s="10" customFormat="1" ht="46.5" customHeight="1">
      <c r="A420" s="329" t="s">
        <v>25</v>
      </c>
      <c r="B420" s="330"/>
      <c r="C420" s="330"/>
      <c r="D420" s="330"/>
      <c r="E420" s="330"/>
      <c r="F420" s="330"/>
      <c r="G420" s="331"/>
      <c r="H420" s="28"/>
      <c r="I420" s="28"/>
      <c r="J420" s="28"/>
      <c r="K420" s="28"/>
      <c r="L420" s="348" t="s">
        <v>220</v>
      </c>
      <c r="M420" s="348" t="s">
        <v>170</v>
      </c>
      <c r="N420" s="406"/>
      <c r="O420" s="406"/>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row>
    <row r="421" spans="1:42" s="10" customFormat="1" ht="15" customHeight="1">
      <c r="A421" s="323" t="s">
        <v>52</v>
      </c>
      <c r="B421" s="323"/>
      <c r="C421" s="28">
        <f aca="true" t="shared" si="129" ref="C421:C426">SUM(E421:G421)</f>
        <v>0</v>
      </c>
      <c r="D421" s="28"/>
      <c r="E421" s="28"/>
      <c r="F421" s="28"/>
      <c r="G421" s="28">
        <f>G422+G423+G424+G425+G426</f>
        <v>0</v>
      </c>
      <c r="H421" s="28">
        <f t="shared" si="126"/>
        <v>0</v>
      </c>
      <c r="I421" s="28">
        <f>I422+I423+I424+I425+I426</f>
        <v>0</v>
      </c>
      <c r="J421" s="28">
        <f>J422+J423+J424+J425+J426</f>
        <v>0</v>
      </c>
      <c r="K421" s="28">
        <f>K422+K423+K424+K425+K426</f>
        <v>0</v>
      </c>
      <c r="L421" s="348"/>
      <c r="M421" s="348"/>
      <c r="N421" s="406"/>
      <c r="O421" s="406"/>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row>
    <row r="422" spans="1:42" s="10" customFormat="1" ht="15" customHeight="1">
      <c r="A422" s="323" t="s">
        <v>45</v>
      </c>
      <c r="B422" s="323"/>
      <c r="C422" s="28">
        <f t="shared" si="129"/>
        <v>0</v>
      </c>
      <c r="D422" s="28">
        <v>0</v>
      </c>
      <c r="E422" s="28">
        <v>0</v>
      </c>
      <c r="F422" s="28">
        <v>0</v>
      </c>
      <c r="G422" s="28">
        <v>0</v>
      </c>
      <c r="H422" s="28">
        <f t="shared" si="126"/>
        <v>0</v>
      </c>
      <c r="I422" s="28">
        <v>0</v>
      </c>
      <c r="J422" s="28">
        <v>0</v>
      </c>
      <c r="K422" s="28">
        <v>0</v>
      </c>
      <c r="L422" s="348"/>
      <c r="M422" s="348"/>
      <c r="N422" s="406"/>
      <c r="O422" s="406"/>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row>
    <row r="423" spans="1:42" s="10" customFormat="1" ht="15" customHeight="1">
      <c r="A423" s="323" t="s">
        <v>46</v>
      </c>
      <c r="B423" s="323"/>
      <c r="C423" s="28">
        <f t="shared" si="129"/>
        <v>0</v>
      </c>
      <c r="D423" s="28">
        <v>0</v>
      </c>
      <c r="E423" s="28">
        <v>0</v>
      </c>
      <c r="F423" s="28">
        <v>0</v>
      </c>
      <c r="G423" s="28">
        <v>0</v>
      </c>
      <c r="H423" s="28">
        <f t="shared" si="126"/>
        <v>0</v>
      </c>
      <c r="I423" s="28">
        <v>0</v>
      </c>
      <c r="J423" s="28">
        <v>0</v>
      </c>
      <c r="K423" s="28">
        <v>0</v>
      </c>
      <c r="L423" s="348"/>
      <c r="M423" s="348"/>
      <c r="N423" s="406"/>
      <c r="O423" s="406"/>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row>
    <row r="424" spans="1:42" s="10" customFormat="1" ht="15" customHeight="1">
      <c r="A424" s="323" t="s">
        <v>47</v>
      </c>
      <c r="B424" s="323"/>
      <c r="C424" s="28">
        <f t="shared" si="129"/>
        <v>0</v>
      </c>
      <c r="D424" s="28">
        <v>0</v>
      </c>
      <c r="E424" s="28">
        <v>0</v>
      </c>
      <c r="F424" s="28">
        <v>0</v>
      </c>
      <c r="G424" s="28">
        <v>0</v>
      </c>
      <c r="H424" s="28">
        <f t="shared" si="126"/>
        <v>0</v>
      </c>
      <c r="I424" s="28">
        <v>0</v>
      </c>
      <c r="J424" s="28">
        <v>0</v>
      </c>
      <c r="K424" s="28">
        <v>0</v>
      </c>
      <c r="L424" s="348"/>
      <c r="M424" s="348"/>
      <c r="N424" s="406"/>
      <c r="O424" s="406"/>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row>
    <row r="425" spans="1:42" s="10" customFormat="1" ht="15" customHeight="1">
      <c r="A425" s="323" t="s">
        <v>48</v>
      </c>
      <c r="B425" s="323"/>
      <c r="C425" s="28">
        <f t="shared" si="129"/>
        <v>0</v>
      </c>
      <c r="D425" s="28">
        <v>0</v>
      </c>
      <c r="E425" s="28">
        <v>0</v>
      </c>
      <c r="F425" s="28">
        <v>0</v>
      </c>
      <c r="G425" s="28">
        <v>0</v>
      </c>
      <c r="H425" s="28">
        <f t="shared" si="126"/>
        <v>0</v>
      </c>
      <c r="I425" s="28">
        <v>0</v>
      </c>
      <c r="J425" s="28">
        <v>0</v>
      </c>
      <c r="K425" s="28">
        <v>0</v>
      </c>
      <c r="L425" s="348"/>
      <c r="M425" s="348"/>
      <c r="N425" s="406"/>
      <c r="O425" s="406"/>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row>
    <row r="426" spans="1:42" s="10" customFormat="1" ht="15" customHeight="1">
      <c r="A426" s="323" t="s">
        <v>49</v>
      </c>
      <c r="B426" s="323"/>
      <c r="C426" s="28">
        <f t="shared" si="129"/>
        <v>0</v>
      </c>
      <c r="D426" s="28">
        <v>0</v>
      </c>
      <c r="E426" s="28">
        <v>0</v>
      </c>
      <c r="F426" s="28">
        <v>0</v>
      </c>
      <c r="G426" s="28">
        <v>0</v>
      </c>
      <c r="H426" s="28">
        <f t="shared" si="126"/>
        <v>0</v>
      </c>
      <c r="I426" s="28">
        <v>0</v>
      </c>
      <c r="J426" s="28">
        <v>0</v>
      </c>
      <c r="K426" s="28">
        <v>0</v>
      </c>
      <c r="L426" s="348"/>
      <c r="M426" s="348"/>
      <c r="N426" s="406"/>
      <c r="O426" s="406"/>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row>
    <row r="427" spans="1:42" s="10" customFormat="1" ht="50.25" customHeight="1">
      <c r="A427" s="329" t="s">
        <v>23</v>
      </c>
      <c r="B427" s="330"/>
      <c r="C427" s="330"/>
      <c r="D427" s="330"/>
      <c r="E427" s="330"/>
      <c r="F427" s="330"/>
      <c r="G427" s="331"/>
      <c r="H427" s="28"/>
      <c r="I427" s="28"/>
      <c r="J427" s="28"/>
      <c r="K427" s="28"/>
      <c r="L427" s="348" t="s">
        <v>220</v>
      </c>
      <c r="M427" s="348" t="s">
        <v>170</v>
      </c>
      <c r="N427" s="406"/>
      <c r="O427" s="406"/>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row>
    <row r="428" spans="1:42" s="10" customFormat="1" ht="15" customHeight="1">
      <c r="A428" s="323" t="s">
        <v>52</v>
      </c>
      <c r="B428" s="323"/>
      <c r="C428" s="28">
        <f aca="true" t="shared" si="130" ref="C428:C433">SUM(E428:G428)</f>
        <v>0</v>
      </c>
      <c r="D428" s="28"/>
      <c r="E428" s="28"/>
      <c r="F428" s="28"/>
      <c r="G428" s="28"/>
      <c r="H428" s="28">
        <f t="shared" si="126"/>
        <v>0</v>
      </c>
      <c r="I428" s="28">
        <f>I429+I430+I431+I432+I433</f>
        <v>0</v>
      </c>
      <c r="J428" s="28">
        <f>J429+J430+J431+J432+J433</f>
        <v>0</v>
      </c>
      <c r="K428" s="28">
        <f>K429+K430+K431+K432+K433</f>
        <v>0</v>
      </c>
      <c r="L428" s="348"/>
      <c r="M428" s="348"/>
      <c r="N428" s="406"/>
      <c r="O428" s="406"/>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row>
    <row r="429" spans="1:42" s="10" customFormat="1" ht="15" customHeight="1">
      <c r="A429" s="323" t="s">
        <v>45</v>
      </c>
      <c r="B429" s="323"/>
      <c r="C429" s="28">
        <f t="shared" si="130"/>
        <v>0</v>
      </c>
      <c r="D429" s="28">
        <v>0</v>
      </c>
      <c r="E429" s="28">
        <v>0</v>
      </c>
      <c r="F429" s="28">
        <v>0</v>
      </c>
      <c r="G429" s="28">
        <v>0</v>
      </c>
      <c r="H429" s="28">
        <f t="shared" si="126"/>
        <v>0</v>
      </c>
      <c r="I429" s="28">
        <v>0</v>
      </c>
      <c r="J429" s="28">
        <v>0</v>
      </c>
      <c r="K429" s="28">
        <v>0</v>
      </c>
      <c r="L429" s="348"/>
      <c r="M429" s="348"/>
      <c r="N429" s="406"/>
      <c r="O429" s="406"/>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row>
    <row r="430" spans="1:42" s="10" customFormat="1" ht="15" customHeight="1">
      <c r="A430" s="323" t="s">
        <v>46</v>
      </c>
      <c r="B430" s="323"/>
      <c r="C430" s="28">
        <f t="shared" si="130"/>
        <v>0</v>
      </c>
      <c r="D430" s="28">
        <v>0</v>
      </c>
      <c r="E430" s="28">
        <v>0</v>
      </c>
      <c r="F430" s="28">
        <v>0</v>
      </c>
      <c r="G430" s="28">
        <v>0</v>
      </c>
      <c r="H430" s="28">
        <f t="shared" si="126"/>
        <v>0</v>
      </c>
      <c r="I430" s="28">
        <v>0</v>
      </c>
      <c r="J430" s="28">
        <v>0</v>
      </c>
      <c r="K430" s="28">
        <v>0</v>
      </c>
      <c r="L430" s="348"/>
      <c r="M430" s="348"/>
      <c r="N430" s="406"/>
      <c r="O430" s="406"/>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row>
    <row r="431" spans="1:42" s="10" customFormat="1" ht="15" customHeight="1">
      <c r="A431" s="323" t="s">
        <v>47</v>
      </c>
      <c r="B431" s="323"/>
      <c r="C431" s="28">
        <f t="shared" si="130"/>
        <v>0</v>
      </c>
      <c r="D431" s="28">
        <v>0</v>
      </c>
      <c r="E431" s="28">
        <v>0</v>
      </c>
      <c r="F431" s="28">
        <v>0</v>
      </c>
      <c r="G431" s="28">
        <v>0</v>
      </c>
      <c r="H431" s="28">
        <f t="shared" si="126"/>
        <v>0</v>
      </c>
      <c r="I431" s="28">
        <v>0</v>
      </c>
      <c r="J431" s="28">
        <v>0</v>
      </c>
      <c r="K431" s="28">
        <v>0</v>
      </c>
      <c r="L431" s="348"/>
      <c r="M431" s="348"/>
      <c r="N431" s="406"/>
      <c r="O431" s="406"/>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row>
    <row r="432" spans="1:42" s="10" customFormat="1" ht="15" customHeight="1">
      <c r="A432" s="323" t="s">
        <v>48</v>
      </c>
      <c r="B432" s="323"/>
      <c r="C432" s="28">
        <f t="shared" si="130"/>
        <v>0</v>
      </c>
      <c r="D432" s="28">
        <v>0</v>
      </c>
      <c r="E432" s="28">
        <v>0</v>
      </c>
      <c r="F432" s="28">
        <v>0</v>
      </c>
      <c r="G432" s="28">
        <v>0</v>
      </c>
      <c r="H432" s="28">
        <f t="shared" si="126"/>
        <v>0</v>
      </c>
      <c r="I432" s="28">
        <v>0</v>
      </c>
      <c r="J432" s="28">
        <v>0</v>
      </c>
      <c r="K432" s="28">
        <v>0</v>
      </c>
      <c r="L432" s="348"/>
      <c r="M432" s="348"/>
      <c r="N432" s="406"/>
      <c r="O432" s="406"/>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row>
    <row r="433" spans="1:42" s="10" customFormat="1" ht="15" customHeight="1">
      <c r="A433" s="323" t="s">
        <v>49</v>
      </c>
      <c r="B433" s="323"/>
      <c r="C433" s="28">
        <f t="shared" si="130"/>
        <v>0</v>
      </c>
      <c r="D433" s="28">
        <v>0</v>
      </c>
      <c r="E433" s="28">
        <v>0</v>
      </c>
      <c r="F433" s="28">
        <v>0</v>
      </c>
      <c r="G433" s="28">
        <v>0</v>
      </c>
      <c r="H433" s="28">
        <f t="shared" si="126"/>
        <v>0</v>
      </c>
      <c r="I433" s="28">
        <v>0</v>
      </c>
      <c r="J433" s="28">
        <v>0</v>
      </c>
      <c r="K433" s="28">
        <v>0</v>
      </c>
      <c r="L433" s="348"/>
      <c r="M433" s="348"/>
      <c r="N433" s="406"/>
      <c r="O433" s="406"/>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row>
    <row r="434" spans="1:15" ht="45" customHeight="1">
      <c r="A434" s="326" t="s">
        <v>13</v>
      </c>
      <c r="B434" s="327"/>
      <c r="C434" s="327"/>
      <c r="D434" s="327"/>
      <c r="E434" s="327"/>
      <c r="F434" s="327"/>
      <c r="G434" s="328"/>
      <c r="H434" s="28"/>
      <c r="I434" s="28"/>
      <c r="J434" s="28"/>
      <c r="K434" s="28"/>
      <c r="L434" s="348" t="s">
        <v>218</v>
      </c>
      <c r="M434" s="348" t="s">
        <v>170</v>
      </c>
      <c r="N434" s="315"/>
      <c r="O434" s="315"/>
    </row>
    <row r="435" spans="1:15" ht="25.5" customHeight="1">
      <c r="A435" s="323" t="s">
        <v>52</v>
      </c>
      <c r="B435" s="323"/>
      <c r="C435" s="28">
        <f aca="true" t="shared" si="131" ref="C435:C442">SUM(E435:G435)</f>
        <v>387339.46973</v>
      </c>
      <c r="D435" s="28">
        <f aca="true" t="shared" si="132" ref="D435:K435">D436+D437+D440+D441+D442</f>
        <v>0</v>
      </c>
      <c r="E435" s="28">
        <f t="shared" si="132"/>
        <v>44264.87</v>
      </c>
      <c r="F435" s="28">
        <f t="shared" si="132"/>
        <v>104988</v>
      </c>
      <c r="G435" s="28">
        <f t="shared" si="132"/>
        <v>238086.59973</v>
      </c>
      <c r="H435" s="28">
        <f t="shared" si="126"/>
        <v>613803.27815</v>
      </c>
      <c r="I435" s="28">
        <f t="shared" si="132"/>
        <v>153190.63815</v>
      </c>
      <c r="J435" s="28">
        <f t="shared" si="132"/>
        <v>225371.35</v>
      </c>
      <c r="K435" s="28">
        <f t="shared" si="132"/>
        <v>235241.29</v>
      </c>
      <c r="L435" s="348"/>
      <c r="M435" s="348"/>
      <c r="N435" s="315"/>
      <c r="O435" s="315"/>
    </row>
    <row r="436" spans="1:15" ht="15" customHeight="1">
      <c r="A436" s="323" t="s">
        <v>45</v>
      </c>
      <c r="B436" s="323"/>
      <c r="C436" s="28">
        <f t="shared" si="131"/>
        <v>0</v>
      </c>
      <c r="D436" s="28">
        <f>D445+D452+D459+D473</f>
        <v>0</v>
      </c>
      <c r="E436" s="28">
        <f>E445+E452+E459+E466+E473+E480+E487+E494+E501+E508</f>
        <v>0</v>
      </c>
      <c r="F436" s="28">
        <f>F445+F452+F459+F466+F473+F480+F487+F494+F501+F508</f>
        <v>0</v>
      </c>
      <c r="G436" s="28">
        <f>G445+G452+G459+G466+G473+G480+G487+G494+G501+G508</f>
        <v>0</v>
      </c>
      <c r="H436" s="28">
        <f t="shared" si="126"/>
        <v>0</v>
      </c>
      <c r="I436" s="28">
        <v>0</v>
      </c>
      <c r="J436" s="28">
        <v>0</v>
      </c>
      <c r="K436" s="28">
        <v>0</v>
      </c>
      <c r="L436" s="348"/>
      <c r="M436" s="348"/>
      <c r="N436" s="315"/>
      <c r="O436" s="315"/>
    </row>
    <row r="437" spans="1:15" ht="15" customHeight="1">
      <c r="A437" s="378" t="s">
        <v>46</v>
      </c>
      <c r="B437" s="378"/>
      <c r="C437" s="113">
        <f t="shared" si="131"/>
        <v>387339.46973</v>
      </c>
      <c r="D437" s="113">
        <f>D446+D453+D460+D467+D474+D481</f>
        <v>0</v>
      </c>
      <c r="E437" s="113">
        <f aca="true" t="shared" si="133" ref="E437:K437">SUM(E438:E439)</f>
        <v>44264.87</v>
      </c>
      <c r="F437" s="113">
        <f t="shared" si="133"/>
        <v>104988</v>
      </c>
      <c r="G437" s="113">
        <f t="shared" si="133"/>
        <v>238086.59973</v>
      </c>
      <c r="H437" s="28">
        <f t="shared" si="126"/>
        <v>613803.27815</v>
      </c>
      <c r="I437" s="113">
        <f>SUM(I438:I439)</f>
        <v>153190.63815</v>
      </c>
      <c r="J437" s="113">
        <f t="shared" si="133"/>
        <v>225371.35</v>
      </c>
      <c r="K437" s="113">
        <f t="shared" si="133"/>
        <v>235241.29</v>
      </c>
      <c r="L437" s="348"/>
      <c r="M437" s="348"/>
      <c r="N437" s="315"/>
      <c r="O437" s="315"/>
    </row>
    <row r="438" spans="1:15" ht="15" customHeight="1">
      <c r="A438" s="323" t="s">
        <v>46</v>
      </c>
      <c r="B438" s="323"/>
      <c r="C438" s="113">
        <f t="shared" si="131"/>
        <v>58899.148</v>
      </c>
      <c r="D438" s="113">
        <f>D453+D460+D467+D474+D481</f>
        <v>0</v>
      </c>
      <c r="E438" s="113">
        <f>E453+E460+E467+E474+E481+E488+E495+E502</f>
        <v>2410</v>
      </c>
      <c r="F438" s="113">
        <f>F453+F460+F467+F474+F481+F488+F495+F502+F516</f>
        <v>50988</v>
      </c>
      <c r="G438" s="113">
        <f>G453+G460+G467+G474+G481+G488+G495+G502</f>
        <v>5501.148</v>
      </c>
      <c r="H438" s="28">
        <f t="shared" si="126"/>
        <v>18210.484</v>
      </c>
      <c r="I438" s="113">
        <f>I453+I460+I467+I474+I481+I488+I495+I502+I530</f>
        <v>18210.484</v>
      </c>
      <c r="J438" s="113">
        <f>J453+J460+J467+J474+J481+J488+J495+J502</f>
        <v>0</v>
      </c>
      <c r="K438" s="113">
        <f>K453+K460+K467+K474+K481+K488+K495+K502</f>
        <v>0</v>
      </c>
      <c r="L438" s="348"/>
      <c r="M438" s="348"/>
      <c r="N438" s="315"/>
      <c r="O438" s="315"/>
    </row>
    <row r="439" spans="1:15" ht="15" customHeight="1">
      <c r="A439" s="323" t="s">
        <v>46</v>
      </c>
      <c r="B439" s="323"/>
      <c r="C439" s="28">
        <f t="shared" si="131"/>
        <v>328440.32172999997</v>
      </c>
      <c r="D439" s="28">
        <f>D446</f>
        <v>0</v>
      </c>
      <c r="E439" s="28">
        <f>E446+E509</f>
        <v>41854.87</v>
      </c>
      <c r="F439" s="28">
        <f>F446+F509</f>
        <v>54000</v>
      </c>
      <c r="G439" s="28">
        <f>G446+G509+G523</f>
        <v>232585.45173</v>
      </c>
      <c r="H439" s="28">
        <f t="shared" si="126"/>
        <v>595592.7941500001</v>
      </c>
      <c r="I439" s="28">
        <f>I446+I509+I523+I537</f>
        <v>134980.15415000002</v>
      </c>
      <c r="J439" s="28">
        <f>J446+J509+J523+J474+J481+J495+J502+J516+J530+J537+J453</f>
        <v>225371.35</v>
      </c>
      <c r="K439" s="28">
        <f>K446+K509+K523+K474+K481+K495+K502+K516+K530+K537+K453</f>
        <v>235241.29</v>
      </c>
      <c r="L439" s="348"/>
      <c r="M439" s="348"/>
      <c r="N439" s="315"/>
      <c r="O439" s="315"/>
    </row>
    <row r="440" spans="1:15" ht="15" customHeight="1">
      <c r="A440" s="323" t="s">
        <v>47</v>
      </c>
      <c r="B440" s="323"/>
      <c r="C440" s="28">
        <f t="shared" si="131"/>
        <v>0</v>
      </c>
      <c r="D440" s="28">
        <f>D447+D454+D461+D468+D475+D482</f>
        <v>0</v>
      </c>
      <c r="E440" s="28">
        <v>0</v>
      </c>
      <c r="F440" s="28">
        <v>0</v>
      </c>
      <c r="G440" s="28">
        <v>0</v>
      </c>
      <c r="H440" s="28">
        <f t="shared" si="126"/>
        <v>0</v>
      </c>
      <c r="I440" s="28">
        <v>0</v>
      </c>
      <c r="J440" s="28">
        <v>0</v>
      </c>
      <c r="K440" s="28">
        <v>0</v>
      </c>
      <c r="L440" s="348"/>
      <c r="M440" s="348"/>
      <c r="N440" s="315"/>
      <c r="O440" s="315"/>
    </row>
    <row r="441" spans="1:15" ht="15" customHeight="1">
      <c r="A441" s="323" t="s">
        <v>48</v>
      </c>
      <c r="B441" s="323"/>
      <c r="C441" s="28">
        <f t="shared" si="131"/>
        <v>0</v>
      </c>
      <c r="D441" s="28">
        <v>0</v>
      </c>
      <c r="E441" s="28">
        <v>0</v>
      </c>
      <c r="F441" s="28">
        <v>0</v>
      </c>
      <c r="G441" s="28">
        <v>0</v>
      </c>
      <c r="H441" s="28">
        <f t="shared" si="126"/>
        <v>0</v>
      </c>
      <c r="I441" s="28">
        <v>0</v>
      </c>
      <c r="J441" s="28">
        <v>0</v>
      </c>
      <c r="K441" s="28">
        <v>0</v>
      </c>
      <c r="L441" s="348"/>
      <c r="M441" s="348"/>
      <c r="N441" s="315"/>
      <c r="O441" s="315"/>
    </row>
    <row r="442" spans="1:15" ht="15.75" customHeight="1">
      <c r="A442" s="323" t="s">
        <v>49</v>
      </c>
      <c r="B442" s="323"/>
      <c r="C442" s="28">
        <f t="shared" si="131"/>
        <v>0</v>
      </c>
      <c r="D442" s="28">
        <v>0</v>
      </c>
      <c r="E442" s="28">
        <v>0</v>
      </c>
      <c r="F442" s="28">
        <v>0</v>
      </c>
      <c r="G442" s="28">
        <v>0</v>
      </c>
      <c r="H442" s="28">
        <f t="shared" si="126"/>
        <v>0</v>
      </c>
      <c r="I442" s="28">
        <v>0</v>
      </c>
      <c r="J442" s="28">
        <v>0</v>
      </c>
      <c r="K442" s="28">
        <v>0</v>
      </c>
      <c r="L442" s="348"/>
      <c r="M442" s="348"/>
      <c r="N442" s="315"/>
      <c r="O442" s="315"/>
    </row>
    <row r="443" spans="1:15" ht="46.5" customHeight="1">
      <c r="A443" s="329" t="s">
        <v>200</v>
      </c>
      <c r="B443" s="330"/>
      <c r="C443" s="330"/>
      <c r="D443" s="330"/>
      <c r="E443" s="330"/>
      <c r="F443" s="330"/>
      <c r="G443" s="331"/>
      <c r="H443" s="28"/>
      <c r="I443" s="28"/>
      <c r="J443" s="28"/>
      <c r="K443" s="28"/>
      <c r="L443" s="308" t="s">
        <v>206</v>
      </c>
      <c r="M443" s="348" t="s">
        <v>170</v>
      </c>
      <c r="N443" s="315" t="s">
        <v>0</v>
      </c>
      <c r="O443" s="315" t="s">
        <v>235</v>
      </c>
    </row>
    <row r="444" spans="1:15" ht="15.75" customHeight="1">
      <c r="A444" s="323" t="s">
        <v>52</v>
      </c>
      <c r="B444" s="323"/>
      <c r="C444" s="28">
        <f aca="true" t="shared" si="134" ref="C444:C449">SUM(E444:G444)</f>
        <v>325385.45173</v>
      </c>
      <c r="D444" s="28">
        <v>0</v>
      </c>
      <c r="E444" s="28">
        <f aca="true" t="shared" si="135" ref="E444:K444">E445+E446+E447+E448+E449</f>
        <v>38800</v>
      </c>
      <c r="F444" s="28">
        <f t="shared" si="135"/>
        <v>54000</v>
      </c>
      <c r="G444" s="28">
        <f t="shared" si="135"/>
        <v>232585.45173</v>
      </c>
      <c r="H444" s="28">
        <f t="shared" si="126"/>
        <v>13980.15415</v>
      </c>
      <c r="I444" s="28">
        <f t="shared" si="135"/>
        <v>13980.15415</v>
      </c>
      <c r="J444" s="28">
        <f t="shared" si="135"/>
        <v>0</v>
      </c>
      <c r="K444" s="28">
        <f t="shared" si="135"/>
        <v>0</v>
      </c>
      <c r="L444" s="309"/>
      <c r="M444" s="348"/>
      <c r="N444" s="315"/>
      <c r="O444" s="315"/>
    </row>
    <row r="445" spans="1:15" ht="15" customHeight="1">
      <c r="A445" s="323" t="s">
        <v>45</v>
      </c>
      <c r="B445" s="323"/>
      <c r="C445" s="28">
        <f t="shared" si="134"/>
        <v>0</v>
      </c>
      <c r="D445" s="28">
        <v>0</v>
      </c>
      <c r="E445" s="28">
        <v>0</v>
      </c>
      <c r="F445" s="28">
        <v>0</v>
      </c>
      <c r="G445" s="28">
        <v>0</v>
      </c>
      <c r="H445" s="28">
        <f t="shared" si="126"/>
        <v>0</v>
      </c>
      <c r="I445" s="28">
        <v>0</v>
      </c>
      <c r="J445" s="28">
        <v>0</v>
      </c>
      <c r="K445" s="28">
        <v>0</v>
      </c>
      <c r="L445" s="309"/>
      <c r="M445" s="348"/>
      <c r="N445" s="315"/>
      <c r="O445" s="315"/>
    </row>
    <row r="446" spans="1:15" ht="15" customHeight="1">
      <c r="A446" s="323" t="s">
        <v>46</v>
      </c>
      <c r="B446" s="323"/>
      <c r="C446" s="28">
        <f t="shared" si="134"/>
        <v>325385.45173</v>
      </c>
      <c r="D446" s="28">
        <v>0</v>
      </c>
      <c r="E446" s="28">
        <v>38800</v>
      </c>
      <c r="F446" s="28">
        <v>54000</v>
      </c>
      <c r="G446" s="28">
        <v>232585.45173</v>
      </c>
      <c r="H446" s="28">
        <f t="shared" si="126"/>
        <v>13980.15415</v>
      </c>
      <c r="I446" s="225">
        <v>13980.15415</v>
      </c>
      <c r="J446" s="28">
        <v>0</v>
      </c>
      <c r="K446" s="28">
        <v>0</v>
      </c>
      <c r="L446" s="309"/>
      <c r="M446" s="348"/>
      <c r="N446" s="315"/>
      <c r="O446" s="315"/>
    </row>
    <row r="447" spans="1:15" ht="15" customHeight="1">
      <c r="A447" s="323" t="s">
        <v>47</v>
      </c>
      <c r="B447" s="323"/>
      <c r="C447" s="28">
        <f t="shared" si="134"/>
        <v>0</v>
      </c>
      <c r="D447" s="28">
        <v>0</v>
      </c>
      <c r="E447" s="28">
        <v>0</v>
      </c>
      <c r="F447" s="28">
        <v>0</v>
      </c>
      <c r="G447" s="28">
        <v>0</v>
      </c>
      <c r="H447" s="28">
        <f t="shared" si="126"/>
        <v>0</v>
      </c>
      <c r="I447" s="28">
        <v>0</v>
      </c>
      <c r="J447" s="28">
        <v>0</v>
      </c>
      <c r="K447" s="28">
        <v>0</v>
      </c>
      <c r="L447" s="309"/>
      <c r="M447" s="348"/>
      <c r="N447" s="315"/>
      <c r="O447" s="315"/>
    </row>
    <row r="448" spans="1:15" ht="15" customHeight="1">
      <c r="A448" s="323" t="s">
        <v>48</v>
      </c>
      <c r="B448" s="323"/>
      <c r="C448" s="28">
        <f t="shared" si="134"/>
        <v>0</v>
      </c>
      <c r="D448" s="28">
        <v>0</v>
      </c>
      <c r="E448" s="28">
        <v>0</v>
      </c>
      <c r="F448" s="28">
        <v>0</v>
      </c>
      <c r="G448" s="28">
        <v>0</v>
      </c>
      <c r="H448" s="28">
        <f t="shared" si="126"/>
        <v>0</v>
      </c>
      <c r="I448" s="28">
        <v>0</v>
      </c>
      <c r="J448" s="28">
        <v>0</v>
      </c>
      <c r="K448" s="28">
        <v>0</v>
      </c>
      <c r="L448" s="309"/>
      <c r="M448" s="348"/>
      <c r="N448" s="315"/>
      <c r="O448" s="315"/>
    </row>
    <row r="449" spans="1:15" ht="15" customHeight="1">
      <c r="A449" s="323" t="s">
        <v>49</v>
      </c>
      <c r="B449" s="323"/>
      <c r="C449" s="28">
        <f t="shared" si="134"/>
        <v>0</v>
      </c>
      <c r="D449" s="28">
        <v>0</v>
      </c>
      <c r="E449" s="28">
        <v>0</v>
      </c>
      <c r="F449" s="28">
        <v>0</v>
      </c>
      <c r="G449" s="28">
        <v>0</v>
      </c>
      <c r="H449" s="28">
        <f t="shared" si="126"/>
        <v>0</v>
      </c>
      <c r="I449" s="28">
        <v>0</v>
      </c>
      <c r="J449" s="28">
        <v>0</v>
      </c>
      <c r="K449" s="28">
        <v>0</v>
      </c>
      <c r="L449" s="310"/>
      <c r="M449" s="348"/>
      <c r="N449" s="315"/>
      <c r="O449" s="315"/>
    </row>
    <row r="450" spans="1:15" ht="56.25" customHeight="1">
      <c r="A450" s="329" t="s">
        <v>2</v>
      </c>
      <c r="B450" s="330"/>
      <c r="C450" s="330"/>
      <c r="D450" s="330"/>
      <c r="E450" s="330"/>
      <c r="F450" s="330"/>
      <c r="G450" s="331"/>
      <c r="H450" s="28"/>
      <c r="I450" s="28"/>
      <c r="J450" s="28"/>
      <c r="K450" s="28"/>
      <c r="L450" s="308" t="s">
        <v>260</v>
      </c>
      <c r="M450" s="308" t="s">
        <v>170</v>
      </c>
      <c r="N450" s="315"/>
      <c r="O450" s="315"/>
    </row>
    <row r="451" spans="1:15" ht="15" customHeight="1">
      <c r="A451" s="323" t="s">
        <v>52</v>
      </c>
      <c r="B451" s="323"/>
      <c r="C451" s="28">
        <f aca="true" t="shared" si="136" ref="C451:C456">SUM(E451:G451)</f>
        <v>3120</v>
      </c>
      <c r="D451" s="28">
        <f aca="true" t="shared" si="137" ref="D451:K451">D452+D453+D454+D455+D456</f>
        <v>0</v>
      </c>
      <c r="E451" s="28">
        <f t="shared" si="137"/>
        <v>2310</v>
      </c>
      <c r="F451" s="28">
        <f t="shared" si="137"/>
        <v>400</v>
      </c>
      <c r="G451" s="28">
        <f t="shared" si="137"/>
        <v>410</v>
      </c>
      <c r="H451" s="28">
        <f t="shared" si="126"/>
        <v>94</v>
      </c>
      <c r="I451" s="28">
        <f t="shared" si="137"/>
        <v>94</v>
      </c>
      <c r="J451" s="28">
        <f t="shared" si="137"/>
        <v>0</v>
      </c>
      <c r="K451" s="28">
        <f t="shared" si="137"/>
        <v>0</v>
      </c>
      <c r="L451" s="309"/>
      <c r="M451" s="309"/>
      <c r="N451" s="315"/>
      <c r="O451" s="315"/>
    </row>
    <row r="452" spans="1:15" ht="15" customHeight="1">
      <c r="A452" s="323" t="s">
        <v>45</v>
      </c>
      <c r="B452" s="323"/>
      <c r="C452" s="28">
        <f t="shared" si="136"/>
        <v>0</v>
      </c>
      <c r="D452" s="28">
        <v>0</v>
      </c>
      <c r="E452" s="28">
        <v>0</v>
      </c>
      <c r="F452" s="28">
        <v>0</v>
      </c>
      <c r="G452" s="28">
        <v>0</v>
      </c>
      <c r="H452" s="28">
        <f t="shared" si="126"/>
        <v>0</v>
      </c>
      <c r="I452" s="28">
        <v>0</v>
      </c>
      <c r="J452" s="28">
        <v>0</v>
      </c>
      <c r="K452" s="28">
        <v>0</v>
      </c>
      <c r="L452" s="309"/>
      <c r="M452" s="309"/>
      <c r="N452" s="315"/>
      <c r="O452" s="315"/>
    </row>
    <row r="453" spans="1:15" ht="15" customHeight="1">
      <c r="A453" s="323" t="s">
        <v>46</v>
      </c>
      <c r="B453" s="323"/>
      <c r="C453" s="28">
        <f t="shared" si="136"/>
        <v>3120</v>
      </c>
      <c r="D453" s="28">
        <v>0</v>
      </c>
      <c r="E453" s="28">
        <v>2310</v>
      </c>
      <c r="F453" s="28">
        <v>400</v>
      </c>
      <c r="G453" s="28">
        <v>410</v>
      </c>
      <c r="H453" s="28">
        <f t="shared" si="126"/>
        <v>94</v>
      </c>
      <c r="I453" s="28">
        <v>94</v>
      </c>
      <c r="J453" s="28">
        <v>0</v>
      </c>
      <c r="K453" s="28">
        <v>0</v>
      </c>
      <c r="L453" s="309"/>
      <c r="M453" s="309"/>
      <c r="N453" s="315"/>
      <c r="O453" s="315"/>
    </row>
    <row r="454" spans="1:15" ht="15" customHeight="1">
      <c r="A454" s="323" t="s">
        <v>47</v>
      </c>
      <c r="B454" s="323"/>
      <c r="C454" s="28">
        <f t="shared" si="136"/>
        <v>0</v>
      </c>
      <c r="D454" s="28">
        <v>0</v>
      </c>
      <c r="E454" s="28">
        <v>0</v>
      </c>
      <c r="F454" s="28">
        <v>0</v>
      </c>
      <c r="G454" s="28">
        <v>0</v>
      </c>
      <c r="H454" s="28">
        <f t="shared" si="126"/>
        <v>0</v>
      </c>
      <c r="I454" s="28">
        <v>0</v>
      </c>
      <c r="J454" s="28">
        <v>0</v>
      </c>
      <c r="K454" s="28">
        <v>0</v>
      </c>
      <c r="L454" s="309"/>
      <c r="M454" s="309"/>
      <c r="N454" s="315"/>
      <c r="O454" s="315"/>
    </row>
    <row r="455" spans="1:15" ht="15" customHeight="1">
      <c r="A455" s="323" t="s">
        <v>48</v>
      </c>
      <c r="B455" s="323"/>
      <c r="C455" s="28">
        <f t="shared" si="136"/>
        <v>0</v>
      </c>
      <c r="D455" s="28">
        <v>0</v>
      </c>
      <c r="E455" s="28">
        <v>0</v>
      </c>
      <c r="F455" s="28">
        <v>0</v>
      </c>
      <c r="G455" s="28">
        <v>0</v>
      </c>
      <c r="H455" s="28">
        <f t="shared" si="126"/>
        <v>0</v>
      </c>
      <c r="I455" s="28">
        <v>0</v>
      </c>
      <c r="J455" s="28">
        <v>0</v>
      </c>
      <c r="K455" s="28">
        <v>0</v>
      </c>
      <c r="L455" s="309"/>
      <c r="M455" s="309"/>
      <c r="N455" s="315"/>
      <c r="O455" s="315"/>
    </row>
    <row r="456" spans="1:15" ht="15" customHeight="1">
      <c r="A456" s="323" t="s">
        <v>49</v>
      </c>
      <c r="B456" s="323"/>
      <c r="C456" s="28">
        <f t="shared" si="136"/>
        <v>0</v>
      </c>
      <c r="D456" s="28">
        <v>0</v>
      </c>
      <c r="E456" s="28">
        <v>0</v>
      </c>
      <c r="F456" s="28">
        <v>0</v>
      </c>
      <c r="G456" s="28">
        <f>L449+M449+N449</f>
        <v>0</v>
      </c>
      <c r="H456" s="28">
        <f t="shared" si="126"/>
        <v>0</v>
      </c>
      <c r="I456" s="28">
        <v>0</v>
      </c>
      <c r="J456" s="28">
        <v>0</v>
      </c>
      <c r="K456" s="28">
        <v>0</v>
      </c>
      <c r="L456" s="310"/>
      <c r="M456" s="310"/>
      <c r="N456" s="315"/>
      <c r="O456" s="315"/>
    </row>
    <row r="457" spans="1:42" s="11" customFormat="1" ht="45" customHeight="1">
      <c r="A457" s="329" t="s">
        <v>194</v>
      </c>
      <c r="B457" s="330"/>
      <c r="C457" s="330"/>
      <c r="D457" s="330"/>
      <c r="E457" s="330"/>
      <c r="F457" s="330"/>
      <c r="G457" s="331"/>
      <c r="H457" s="28"/>
      <c r="I457" s="28"/>
      <c r="J457" s="28"/>
      <c r="K457" s="28"/>
      <c r="L457" s="348" t="s">
        <v>218</v>
      </c>
      <c r="M457" s="348" t="s">
        <v>170</v>
      </c>
      <c r="N457" s="315"/>
      <c r="O457" s="315"/>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row>
    <row r="458" spans="1:15" ht="15" customHeight="1">
      <c r="A458" s="323" t="s">
        <v>52</v>
      </c>
      <c r="B458" s="323"/>
      <c r="C458" s="28">
        <f aca="true" t="shared" si="138" ref="C458:C463">SUM(E458:G458)</f>
        <v>0</v>
      </c>
      <c r="D458" s="28">
        <f aca="true" t="shared" si="139" ref="D458:K458">D459+D460+D461+D462+D463</f>
        <v>0</v>
      </c>
      <c r="E458" s="28">
        <f t="shared" si="139"/>
        <v>0</v>
      </c>
      <c r="F458" s="28">
        <f t="shared" si="139"/>
        <v>0</v>
      </c>
      <c r="G458" s="28">
        <f t="shared" si="139"/>
        <v>0</v>
      </c>
      <c r="H458" s="28">
        <f t="shared" si="126"/>
        <v>0</v>
      </c>
      <c r="I458" s="28">
        <f t="shared" si="139"/>
        <v>0</v>
      </c>
      <c r="J458" s="28">
        <f t="shared" si="139"/>
        <v>0</v>
      </c>
      <c r="K458" s="28">
        <f t="shared" si="139"/>
        <v>0</v>
      </c>
      <c r="L458" s="348"/>
      <c r="M458" s="348"/>
      <c r="N458" s="315"/>
      <c r="O458" s="315"/>
    </row>
    <row r="459" spans="1:15" ht="15" customHeight="1">
      <c r="A459" s="323" t="s">
        <v>45</v>
      </c>
      <c r="B459" s="323"/>
      <c r="C459" s="28">
        <f t="shared" si="138"/>
        <v>0</v>
      </c>
      <c r="D459" s="28">
        <v>0</v>
      </c>
      <c r="E459" s="28">
        <v>0</v>
      </c>
      <c r="F459" s="28">
        <v>0</v>
      </c>
      <c r="G459" s="28">
        <v>0</v>
      </c>
      <c r="H459" s="28">
        <f t="shared" si="126"/>
        <v>0</v>
      </c>
      <c r="I459" s="28">
        <v>0</v>
      </c>
      <c r="J459" s="28">
        <v>0</v>
      </c>
      <c r="K459" s="28">
        <v>0</v>
      </c>
      <c r="L459" s="348"/>
      <c r="M459" s="348"/>
      <c r="N459" s="315"/>
      <c r="O459" s="315"/>
    </row>
    <row r="460" spans="1:15" ht="15" customHeight="1">
      <c r="A460" s="323" t="s">
        <v>46</v>
      </c>
      <c r="B460" s="323"/>
      <c r="C460" s="28">
        <f t="shared" si="138"/>
        <v>0</v>
      </c>
      <c r="D460" s="28">
        <v>0</v>
      </c>
      <c r="E460" s="28">
        <v>0</v>
      </c>
      <c r="F460" s="28">
        <v>0</v>
      </c>
      <c r="G460" s="28">
        <v>0</v>
      </c>
      <c r="H460" s="28">
        <f t="shared" si="126"/>
        <v>0</v>
      </c>
      <c r="I460" s="28">
        <v>0</v>
      </c>
      <c r="J460" s="28">
        <v>0</v>
      </c>
      <c r="K460" s="28">
        <v>0</v>
      </c>
      <c r="L460" s="348"/>
      <c r="M460" s="348"/>
      <c r="N460" s="315"/>
      <c r="O460" s="315"/>
    </row>
    <row r="461" spans="1:15" ht="15" customHeight="1">
      <c r="A461" s="323" t="s">
        <v>47</v>
      </c>
      <c r="B461" s="323"/>
      <c r="C461" s="28">
        <f t="shared" si="138"/>
        <v>0</v>
      </c>
      <c r="D461" s="28">
        <v>0</v>
      </c>
      <c r="E461" s="28">
        <v>0</v>
      </c>
      <c r="F461" s="28">
        <v>0</v>
      </c>
      <c r="G461" s="28">
        <v>0</v>
      </c>
      <c r="H461" s="28">
        <f t="shared" si="126"/>
        <v>0</v>
      </c>
      <c r="I461" s="28">
        <v>0</v>
      </c>
      <c r="J461" s="28">
        <v>0</v>
      </c>
      <c r="K461" s="28">
        <v>0</v>
      </c>
      <c r="L461" s="348"/>
      <c r="M461" s="348"/>
      <c r="N461" s="315"/>
      <c r="O461" s="315"/>
    </row>
    <row r="462" spans="1:15" ht="15" customHeight="1">
      <c r="A462" s="323" t="s">
        <v>48</v>
      </c>
      <c r="B462" s="323"/>
      <c r="C462" s="28">
        <f t="shared" si="138"/>
        <v>0</v>
      </c>
      <c r="D462" s="28">
        <v>0</v>
      </c>
      <c r="E462" s="28">
        <v>0</v>
      </c>
      <c r="F462" s="28">
        <v>0</v>
      </c>
      <c r="G462" s="28">
        <v>0</v>
      </c>
      <c r="H462" s="28">
        <f t="shared" si="126"/>
        <v>0</v>
      </c>
      <c r="I462" s="28">
        <v>0</v>
      </c>
      <c r="J462" s="28">
        <v>0</v>
      </c>
      <c r="K462" s="28">
        <v>0</v>
      </c>
      <c r="L462" s="348"/>
      <c r="M462" s="348"/>
      <c r="N462" s="315"/>
      <c r="O462" s="315"/>
    </row>
    <row r="463" spans="1:15" ht="15" customHeight="1">
      <c r="A463" s="323" t="s">
        <v>49</v>
      </c>
      <c r="B463" s="323"/>
      <c r="C463" s="28">
        <f t="shared" si="138"/>
        <v>0</v>
      </c>
      <c r="D463" s="28">
        <v>0</v>
      </c>
      <c r="E463" s="28">
        <v>0</v>
      </c>
      <c r="F463" s="28">
        <v>0</v>
      </c>
      <c r="G463" s="28">
        <v>0</v>
      </c>
      <c r="H463" s="28">
        <f aca="true" t="shared" si="140" ref="H463:H526">I463+J463+K463</f>
        <v>0</v>
      </c>
      <c r="I463" s="28">
        <v>0</v>
      </c>
      <c r="J463" s="28">
        <v>0</v>
      </c>
      <c r="K463" s="28">
        <v>0</v>
      </c>
      <c r="L463" s="348"/>
      <c r="M463" s="348"/>
      <c r="N463" s="315"/>
      <c r="O463" s="315"/>
    </row>
    <row r="464" spans="1:15" ht="45.75" customHeight="1">
      <c r="A464" s="329" t="s">
        <v>3</v>
      </c>
      <c r="B464" s="330"/>
      <c r="C464" s="330"/>
      <c r="D464" s="330"/>
      <c r="E464" s="330"/>
      <c r="F464" s="330"/>
      <c r="G464" s="331"/>
      <c r="H464" s="28"/>
      <c r="I464" s="28"/>
      <c r="J464" s="28"/>
      <c r="K464" s="28"/>
      <c r="L464" s="348" t="s">
        <v>218</v>
      </c>
      <c r="M464" s="348" t="s">
        <v>170</v>
      </c>
      <c r="N464" s="315"/>
      <c r="O464" s="315"/>
    </row>
    <row r="465" spans="1:15" ht="15" customHeight="1">
      <c r="A465" s="323" t="s">
        <v>52</v>
      </c>
      <c r="B465" s="323"/>
      <c r="C465" s="28">
        <f aca="true" t="shared" si="141" ref="C465:C470">SUM(E465:G465)</f>
        <v>0</v>
      </c>
      <c r="D465" s="28">
        <v>0</v>
      </c>
      <c r="E465" s="28">
        <f aca="true" t="shared" si="142" ref="E465:K465">E466+E467+E468+E469+E470</f>
        <v>0</v>
      </c>
      <c r="F465" s="28">
        <f t="shared" si="142"/>
        <v>0</v>
      </c>
      <c r="G465" s="28">
        <f t="shared" si="142"/>
        <v>0</v>
      </c>
      <c r="H465" s="28">
        <f t="shared" si="140"/>
        <v>0</v>
      </c>
      <c r="I465" s="28">
        <f t="shared" si="142"/>
        <v>0</v>
      </c>
      <c r="J465" s="28">
        <f t="shared" si="142"/>
        <v>0</v>
      </c>
      <c r="K465" s="28">
        <f t="shared" si="142"/>
        <v>0</v>
      </c>
      <c r="L465" s="348"/>
      <c r="M465" s="348"/>
      <c r="N465" s="315"/>
      <c r="O465" s="315"/>
    </row>
    <row r="466" spans="1:15" ht="15" customHeight="1">
      <c r="A466" s="323" t="s">
        <v>45</v>
      </c>
      <c r="B466" s="323"/>
      <c r="C466" s="28">
        <f t="shared" si="141"/>
        <v>0</v>
      </c>
      <c r="D466" s="28">
        <v>0</v>
      </c>
      <c r="E466" s="28">
        <v>0</v>
      </c>
      <c r="F466" s="28">
        <v>0</v>
      </c>
      <c r="G466" s="28">
        <f>L459+M459+N459</f>
        <v>0</v>
      </c>
      <c r="H466" s="28">
        <f t="shared" si="140"/>
        <v>0</v>
      </c>
      <c r="I466" s="28">
        <v>0</v>
      </c>
      <c r="J466" s="28">
        <v>0</v>
      </c>
      <c r="K466" s="28">
        <v>0</v>
      </c>
      <c r="L466" s="348"/>
      <c r="M466" s="348"/>
      <c r="N466" s="315"/>
      <c r="O466" s="315"/>
    </row>
    <row r="467" spans="1:15" ht="15" customHeight="1">
      <c r="A467" s="323" t="s">
        <v>46</v>
      </c>
      <c r="B467" s="323"/>
      <c r="C467" s="28">
        <f t="shared" si="141"/>
        <v>0</v>
      </c>
      <c r="D467" s="28">
        <v>0</v>
      </c>
      <c r="E467" s="28">
        <v>0</v>
      </c>
      <c r="F467" s="28">
        <v>0</v>
      </c>
      <c r="G467" s="28">
        <f>L460+M460+N460</f>
        <v>0</v>
      </c>
      <c r="H467" s="28">
        <f t="shared" si="140"/>
        <v>0</v>
      </c>
      <c r="I467" s="28">
        <v>0</v>
      </c>
      <c r="J467" s="28">
        <v>0</v>
      </c>
      <c r="K467" s="28">
        <v>0</v>
      </c>
      <c r="L467" s="348"/>
      <c r="M467" s="348"/>
      <c r="N467" s="315"/>
      <c r="O467" s="315"/>
    </row>
    <row r="468" spans="1:15" ht="15" customHeight="1">
      <c r="A468" s="323" t="s">
        <v>47</v>
      </c>
      <c r="B468" s="323"/>
      <c r="C468" s="28">
        <f t="shared" si="141"/>
        <v>0</v>
      </c>
      <c r="D468" s="28">
        <v>0</v>
      </c>
      <c r="E468" s="28">
        <v>0</v>
      </c>
      <c r="F468" s="28">
        <v>0</v>
      </c>
      <c r="G468" s="28">
        <f>L461+M461+N461</f>
        <v>0</v>
      </c>
      <c r="H468" s="28">
        <f t="shared" si="140"/>
        <v>0</v>
      </c>
      <c r="I468" s="28">
        <v>0</v>
      </c>
      <c r="J468" s="28">
        <v>0</v>
      </c>
      <c r="K468" s="28">
        <v>0</v>
      </c>
      <c r="L468" s="348"/>
      <c r="M468" s="348"/>
      <c r="N468" s="315"/>
      <c r="O468" s="315"/>
    </row>
    <row r="469" spans="1:15" ht="15" customHeight="1">
      <c r="A469" s="323" t="s">
        <v>48</v>
      </c>
      <c r="B469" s="323"/>
      <c r="C469" s="28">
        <f t="shared" si="141"/>
        <v>0</v>
      </c>
      <c r="D469" s="28">
        <v>0</v>
      </c>
      <c r="E469" s="28">
        <v>0</v>
      </c>
      <c r="F469" s="28">
        <v>0</v>
      </c>
      <c r="G469" s="28">
        <f>L462+M462+N462</f>
        <v>0</v>
      </c>
      <c r="H469" s="28">
        <f t="shared" si="140"/>
        <v>0</v>
      </c>
      <c r="I469" s="28">
        <v>0</v>
      </c>
      <c r="J469" s="28">
        <v>0</v>
      </c>
      <c r="K469" s="28">
        <v>0</v>
      </c>
      <c r="L469" s="348"/>
      <c r="M469" s="348"/>
      <c r="N469" s="315"/>
      <c r="O469" s="315"/>
    </row>
    <row r="470" spans="1:15" ht="15" customHeight="1">
      <c r="A470" s="323" t="s">
        <v>49</v>
      </c>
      <c r="B470" s="323"/>
      <c r="C470" s="28">
        <f t="shared" si="141"/>
        <v>0</v>
      </c>
      <c r="D470" s="28">
        <v>0</v>
      </c>
      <c r="E470" s="28">
        <v>0</v>
      </c>
      <c r="F470" s="28">
        <v>0</v>
      </c>
      <c r="G470" s="28">
        <f>L463+M463+N463</f>
        <v>0</v>
      </c>
      <c r="H470" s="28">
        <f t="shared" si="140"/>
        <v>0</v>
      </c>
      <c r="I470" s="28">
        <v>0</v>
      </c>
      <c r="J470" s="28">
        <v>0</v>
      </c>
      <c r="K470" s="28">
        <v>0</v>
      </c>
      <c r="L470" s="348"/>
      <c r="M470" s="348"/>
      <c r="N470" s="315"/>
      <c r="O470" s="315"/>
    </row>
    <row r="471" spans="1:42" s="10" customFormat="1" ht="50.25" customHeight="1">
      <c r="A471" s="329" t="s">
        <v>15</v>
      </c>
      <c r="B471" s="330"/>
      <c r="C471" s="330"/>
      <c r="D471" s="330"/>
      <c r="E471" s="330"/>
      <c r="F471" s="330"/>
      <c r="G471" s="331"/>
      <c r="H471" s="28"/>
      <c r="I471" s="28"/>
      <c r="J471" s="28"/>
      <c r="K471" s="28"/>
      <c r="L471" s="348" t="s">
        <v>260</v>
      </c>
      <c r="M471" s="348" t="s">
        <v>170</v>
      </c>
      <c r="N471" s="315"/>
      <c r="O471" s="315"/>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row>
    <row r="472" spans="1:42" s="10" customFormat="1" ht="15" customHeight="1">
      <c r="A472" s="323" t="s">
        <v>52</v>
      </c>
      <c r="B472" s="323"/>
      <c r="C472" s="28">
        <f aca="true" t="shared" si="143" ref="C472:C477">SUM(E472:G472)</f>
        <v>29600.01</v>
      </c>
      <c r="D472" s="28">
        <f aca="true" t="shared" si="144" ref="D472:K472">D473+D474+D475+D476+D477</f>
        <v>0</v>
      </c>
      <c r="E472" s="28">
        <f t="shared" si="144"/>
        <v>100</v>
      </c>
      <c r="F472" s="28">
        <f t="shared" si="144"/>
        <v>28000</v>
      </c>
      <c r="G472" s="28">
        <f t="shared" si="144"/>
        <v>1500.01</v>
      </c>
      <c r="H472" s="28">
        <f t="shared" si="140"/>
        <v>825.346</v>
      </c>
      <c r="I472" s="28">
        <f t="shared" si="144"/>
        <v>825.346</v>
      </c>
      <c r="J472" s="28">
        <f t="shared" si="144"/>
        <v>0</v>
      </c>
      <c r="K472" s="28">
        <f t="shared" si="144"/>
        <v>0</v>
      </c>
      <c r="L472" s="348"/>
      <c r="M472" s="348"/>
      <c r="N472" s="315"/>
      <c r="O472" s="315"/>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row>
    <row r="473" spans="1:42" s="10" customFormat="1" ht="15" customHeight="1">
      <c r="A473" s="323" t="s">
        <v>45</v>
      </c>
      <c r="B473" s="323"/>
      <c r="C473" s="28">
        <f t="shared" si="143"/>
        <v>0</v>
      </c>
      <c r="D473" s="28">
        <v>0</v>
      </c>
      <c r="E473" s="28">
        <v>0</v>
      </c>
      <c r="F473" s="28">
        <v>0</v>
      </c>
      <c r="G473" s="28">
        <f>L466+M466+N466</f>
        <v>0</v>
      </c>
      <c r="H473" s="28">
        <f t="shared" si="140"/>
        <v>0</v>
      </c>
      <c r="I473" s="28">
        <v>0</v>
      </c>
      <c r="J473" s="28">
        <v>0</v>
      </c>
      <c r="K473" s="28">
        <v>0</v>
      </c>
      <c r="L473" s="348"/>
      <c r="M473" s="348"/>
      <c r="N473" s="315"/>
      <c r="O473" s="315"/>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row>
    <row r="474" spans="1:42" s="10" customFormat="1" ht="15" customHeight="1">
      <c r="A474" s="323" t="s">
        <v>46</v>
      </c>
      <c r="B474" s="323"/>
      <c r="C474" s="28">
        <f t="shared" si="143"/>
        <v>29600.01</v>
      </c>
      <c r="D474" s="28">
        <v>0</v>
      </c>
      <c r="E474" s="28">
        <v>100</v>
      </c>
      <c r="F474" s="28">
        <v>28000</v>
      </c>
      <c r="G474" s="28">
        <v>1500.01</v>
      </c>
      <c r="H474" s="28">
        <f t="shared" si="140"/>
        <v>825.346</v>
      </c>
      <c r="I474" s="28">
        <v>825.346</v>
      </c>
      <c r="J474" s="28">
        <v>0</v>
      </c>
      <c r="K474" s="28">
        <v>0</v>
      </c>
      <c r="L474" s="348"/>
      <c r="M474" s="348"/>
      <c r="N474" s="315"/>
      <c r="O474" s="315"/>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row>
    <row r="475" spans="1:42" s="10" customFormat="1" ht="15" customHeight="1">
      <c r="A475" s="323" t="s">
        <v>47</v>
      </c>
      <c r="B475" s="323"/>
      <c r="C475" s="28">
        <f t="shared" si="143"/>
        <v>0</v>
      </c>
      <c r="D475" s="28">
        <v>0</v>
      </c>
      <c r="E475" s="28">
        <v>0</v>
      </c>
      <c r="F475" s="28">
        <v>0</v>
      </c>
      <c r="G475" s="28">
        <f>L468+M468+N468</f>
        <v>0</v>
      </c>
      <c r="H475" s="28">
        <f t="shared" si="140"/>
        <v>0</v>
      </c>
      <c r="I475" s="28">
        <v>0</v>
      </c>
      <c r="J475" s="28">
        <v>0</v>
      </c>
      <c r="K475" s="28">
        <v>0</v>
      </c>
      <c r="L475" s="348"/>
      <c r="M475" s="348"/>
      <c r="N475" s="315"/>
      <c r="O475" s="315"/>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row>
    <row r="476" spans="1:42" s="10" customFormat="1" ht="15" customHeight="1">
      <c r="A476" s="323" t="s">
        <v>48</v>
      </c>
      <c r="B476" s="323"/>
      <c r="C476" s="28">
        <f t="shared" si="143"/>
        <v>0</v>
      </c>
      <c r="D476" s="28">
        <v>0</v>
      </c>
      <c r="E476" s="28">
        <v>0</v>
      </c>
      <c r="F476" s="28">
        <v>0</v>
      </c>
      <c r="G476" s="28">
        <f>L469+M469+N469</f>
        <v>0</v>
      </c>
      <c r="H476" s="28">
        <f t="shared" si="140"/>
        <v>0</v>
      </c>
      <c r="I476" s="28">
        <v>0</v>
      </c>
      <c r="J476" s="28">
        <v>0</v>
      </c>
      <c r="K476" s="28">
        <v>0</v>
      </c>
      <c r="L476" s="348"/>
      <c r="M476" s="348"/>
      <c r="N476" s="315"/>
      <c r="O476" s="315"/>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row>
    <row r="477" spans="1:42" s="10" customFormat="1" ht="15" customHeight="1">
      <c r="A477" s="323" t="s">
        <v>49</v>
      </c>
      <c r="B477" s="323"/>
      <c r="C477" s="28">
        <f t="shared" si="143"/>
        <v>0</v>
      </c>
      <c r="D477" s="28">
        <v>0</v>
      </c>
      <c r="E477" s="28">
        <v>0</v>
      </c>
      <c r="F477" s="28">
        <v>0</v>
      </c>
      <c r="G477" s="28">
        <f>L470+M470+N470</f>
        <v>0</v>
      </c>
      <c r="H477" s="28">
        <f t="shared" si="140"/>
        <v>0</v>
      </c>
      <c r="I477" s="28">
        <v>0</v>
      </c>
      <c r="J477" s="28">
        <v>0</v>
      </c>
      <c r="K477" s="28">
        <v>0</v>
      </c>
      <c r="L477" s="348"/>
      <c r="M477" s="348"/>
      <c r="N477" s="315"/>
      <c r="O477" s="315"/>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row>
    <row r="478" spans="1:15" ht="33" customHeight="1">
      <c r="A478" s="329" t="s">
        <v>29</v>
      </c>
      <c r="B478" s="330"/>
      <c r="C478" s="330"/>
      <c r="D478" s="330"/>
      <c r="E478" s="330"/>
      <c r="F478" s="330"/>
      <c r="G478" s="331"/>
      <c r="H478" s="28"/>
      <c r="I478" s="28"/>
      <c r="J478" s="28"/>
      <c r="K478" s="28"/>
      <c r="L478" s="348" t="s">
        <v>260</v>
      </c>
      <c r="M478" s="348" t="s">
        <v>170</v>
      </c>
      <c r="N478" s="315"/>
      <c r="O478" s="315"/>
    </row>
    <row r="479" spans="1:15" ht="15" customHeight="1">
      <c r="A479" s="323" t="s">
        <v>52</v>
      </c>
      <c r="B479" s="323"/>
      <c r="C479" s="28">
        <f aca="true" t="shared" si="145" ref="C479:C484">SUM(E479:G479)</f>
        <v>8988</v>
      </c>
      <c r="D479" s="28">
        <v>0</v>
      </c>
      <c r="E479" s="28">
        <f aca="true" t="shared" si="146" ref="E479:K479">E480+E481+E482+E483+E484</f>
        <v>0</v>
      </c>
      <c r="F479" s="28">
        <f t="shared" si="146"/>
        <v>8988</v>
      </c>
      <c r="G479" s="28">
        <f t="shared" si="146"/>
        <v>0</v>
      </c>
      <c r="H479" s="28">
        <f t="shared" si="140"/>
        <v>0</v>
      </c>
      <c r="I479" s="28">
        <f t="shared" si="146"/>
        <v>0</v>
      </c>
      <c r="J479" s="28">
        <f t="shared" si="146"/>
        <v>0</v>
      </c>
      <c r="K479" s="28">
        <f t="shared" si="146"/>
        <v>0</v>
      </c>
      <c r="L479" s="348"/>
      <c r="M479" s="348"/>
      <c r="N479" s="315"/>
      <c r="O479" s="315"/>
    </row>
    <row r="480" spans="1:15" ht="15" customHeight="1">
      <c r="A480" s="323" t="s">
        <v>45</v>
      </c>
      <c r="B480" s="323"/>
      <c r="C480" s="28">
        <f t="shared" si="145"/>
        <v>0</v>
      </c>
      <c r="D480" s="28">
        <v>0</v>
      </c>
      <c r="E480" s="28">
        <v>0</v>
      </c>
      <c r="F480" s="28">
        <v>0</v>
      </c>
      <c r="G480" s="28">
        <v>0</v>
      </c>
      <c r="H480" s="28">
        <f t="shared" si="140"/>
        <v>0</v>
      </c>
      <c r="I480" s="28">
        <v>0</v>
      </c>
      <c r="J480" s="28">
        <v>0</v>
      </c>
      <c r="K480" s="28">
        <v>0</v>
      </c>
      <c r="L480" s="348"/>
      <c r="M480" s="348"/>
      <c r="N480" s="315"/>
      <c r="O480" s="315"/>
    </row>
    <row r="481" spans="1:15" ht="15" customHeight="1">
      <c r="A481" s="323" t="s">
        <v>46</v>
      </c>
      <c r="B481" s="323"/>
      <c r="C481" s="28">
        <f t="shared" si="145"/>
        <v>8988</v>
      </c>
      <c r="D481" s="28">
        <v>0</v>
      </c>
      <c r="E481" s="28">
        <v>0</v>
      </c>
      <c r="F481" s="28">
        <v>8988</v>
      </c>
      <c r="G481" s="28">
        <v>0</v>
      </c>
      <c r="H481" s="28">
        <f t="shared" si="140"/>
        <v>0</v>
      </c>
      <c r="I481" s="28">
        <v>0</v>
      </c>
      <c r="J481" s="28">
        <v>0</v>
      </c>
      <c r="K481" s="28">
        <v>0</v>
      </c>
      <c r="L481" s="348"/>
      <c r="M481" s="348"/>
      <c r="N481" s="315"/>
      <c r="O481" s="315"/>
    </row>
    <row r="482" spans="1:15" ht="15" customHeight="1">
      <c r="A482" s="323" t="s">
        <v>47</v>
      </c>
      <c r="B482" s="323"/>
      <c r="C482" s="28">
        <f t="shared" si="145"/>
        <v>0</v>
      </c>
      <c r="D482" s="28">
        <v>0</v>
      </c>
      <c r="E482" s="28">
        <v>0</v>
      </c>
      <c r="F482" s="28">
        <v>0</v>
      </c>
      <c r="G482" s="28">
        <v>0</v>
      </c>
      <c r="H482" s="28">
        <f t="shared" si="140"/>
        <v>0</v>
      </c>
      <c r="I482" s="28">
        <v>0</v>
      </c>
      <c r="J482" s="28">
        <v>0</v>
      </c>
      <c r="K482" s="28">
        <v>0</v>
      </c>
      <c r="L482" s="348"/>
      <c r="M482" s="348"/>
      <c r="N482" s="315"/>
      <c r="O482" s="315"/>
    </row>
    <row r="483" spans="1:15" ht="15" customHeight="1">
      <c r="A483" s="323" t="s">
        <v>48</v>
      </c>
      <c r="B483" s="323"/>
      <c r="C483" s="28">
        <f t="shared" si="145"/>
        <v>0</v>
      </c>
      <c r="D483" s="28">
        <v>0</v>
      </c>
      <c r="E483" s="28">
        <v>0</v>
      </c>
      <c r="F483" s="28">
        <v>0</v>
      </c>
      <c r="G483" s="28">
        <v>0</v>
      </c>
      <c r="H483" s="28">
        <f t="shared" si="140"/>
        <v>0</v>
      </c>
      <c r="I483" s="28">
        <v>0</v>
      </c>
      <c r="J483" s="28">
        <v>0</v>
      </c>
      <c r="K483" s="28">
        <v>0</v>
      </c>
      <c r="L483" s="348"/>
      <c r="M483" s="348"/>
      <c r="N483" s="315"/>
      <c r="O483" s="315"/>
    </row>
    <row r="484" spans="1:15" ht="15" customHeight="1">
      <c r="A484" s="323" t="s">
        <v>49</v>
      </c>
      <c r="B484" s="323"/>
      <c r="C484" s="28">
        <f t="shared" si="145"/>
        <v>0</v>
      </c>
      <c r="D484" s="28">
        <v>0</v>
      </c>
      <c r="E484" s="28">
        <v>0</v>
      </c>
      <c r="F484" s="28">
        <v>0</v>
      </c>
      <c r="G484" s="28">
        <v>0</v>
      </c>
      <c r="H484" s="28">
        <f t="shared" si="140"/>
        <v>0</v>
      </c>
      <c r="I484" s="28">
        <v>0</v>
      </c>
      <c r="J484" s="28">
        <v>0</v>
      </c>
      <c r="K484" s="28">
        <v>0</v>
      </c>
      <c r="L484" s="348"/>
      <c r="M484" s="348"/>
      <c r="N484" s="315"/>
      <c r="O484" s="315"/>
    </row>
    <row r="485" spans="1:42" s="10" customFormat="1" ht="45.75" customHeight="1">
      <c r="A485" s="329" t="s">
        <v>7</v>
      </c>
      <c r="B485" s="330"/>
      <c r="C485" s="330"/>
      <c r="D485" s="330"/>
      <c r="E485" s="330"/>
      <c r="F485" s="330"/>
      <c r="G485" s="331"/>
      <c r="H485" s="28"/>
      <c r="I485" s="28"/>
      <c r="J485" s="28"/>
      <c r="K485" s="28"/>
      <c r="L485" s="348" t="s">
        <v>218</v>
      </c>
      <c r="M485" s="348" t="s">
        <v>170</v>
      </c>
      <c r="N485" s="374"/>
      <c r="O485" s="374"/>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row>
    <row r="486" spans="1:42" s="10" customFormat="1" ht="15" customHeight="1">
      <c r="A486" s="323" t="s">
        <v>52</v>
      </c>
      <c r="B486" s="323"/>
      <c r="C486" s="28">
        <f aca="true" t="shared" si="147" ref="C486:C491">SUM(E486:G486)</f>
        <v>0</v>
      </c>
      <c r="D486" s="28">
        <v>0</v>
      </c>
      <c r="E486" s="28">
        <f aca="true" t="shared" si="148" ref="E486:K486">E487+E488+E489+E490+E491</f>
        <v>0</v>
      </c>
      <c r="F486" s="28">
        <f t="shared" si="148"/>
        <v>0</v>
      </c>
      <c r="G486" s="28">
        <f t="shared" si="148"/>
        <v>0</v>
      </c>
      <c r="H486" s="28">
        <f t="shared" si="140"/>
        <v>0</v>
      </c>
      <c r="I486" s="28">
        <f t="shared" si="148"/>
        <v>0</v>
      </c>
      <c r="J486" s="28">
        <f t="shared" si="148"/>
        <v>0</v>
      </c>
      <c r="K486" s="28">
        <f t="shared" si="148"/>
        <v>0</v>
      </c>
      <c r="L486" s="348"/>
      <c r="M486" s="348"/>
      <c r="N486" s="374"/>
      <c r="O486" s="374"/>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row>
    <row r="487" spans="1:42" s="10" customFormat="1" ht="15" customHeight="1">
      <c r="A487" s="323" t="s">
        <v>45</v>
      </c>
      <c r="B487" s="323"/>
      <c r="C487" s="28">
        <f t="shared" si="147"/>
        <v>0</v>
      </c>
      <c r="D487" s="28">
        <v>0</v>
      </c>
      <c r="E487" s="28">
        <v>0</v>
      </c>
      <c r="F487" s="28">
        <v>0</v>
      </c>
      <c r="G487" s="28">
        <v>0</v>
      </c>
      <c r="H487" s="28">
        <f t="shared" si="140"/>
        <v>0</v>
      </c>
      <c r="I487" s="28">
        <v>0</v>
      </c>
      <c r="J487" s="28">
        <v>0</v>
      </c>
      <c r="K487" s="28">
        <v>0</v>
      </c>
      <c r="L487" s="348"/>
      <c r="M487" s="348"/>
      <c r="N487" s="374"/>
      <c r="O487" s="374"/>
      <c r="P487" s="142"/>
      <c r="Q487" s="142"/>
      <c r="R487" s="142"/>
      <c r="S487" s="147"/>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row>
    <row r="488" spans="1:42" s="10" customFormat="1" ht="15" customHeight="1">
      <c r="A488" s="323" t="s">
        <v>46</v>
      </c>
      <c r="B488" s="323"/>
      <c r="C488" s="28">
        <f t="shared" si="147"/>
        <v>0</v>
      </c>
      <c r="D488" s="28">
        <v>0</v>
      </c>
      <c r="E488" s="28">
        <v>0</v>
      </c>
      <c r="F488" s="28">
        <v>0</v>
      </c>
      <c r="G488" s="28">
        <v>0</v>
      </c>
      <c r="H488" s="28">
        <f t="shared" si="140"/>
        <v>0</v>
      </c>
      <c r="I488" s="28">
        <v>0</v>
      </c>
      <c r="J488" s="28">
        <v>0</v>
      </c>
      <c r="K488" s="28">
        <v>0</v>
      </c>
      <c r="L488" s="348"/>
      <c r="M488" s="348"/>
      <c r="N488" s="374"/>
      <c r="O488" s="374"/>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row>
    <row r="489" spans="1:42" s="10" customFormat="1" ht="15" customHeight="1">
      <c r="A489" s="323" t="s">
        <v>47</v>
      </c>
      <c r="B489" s="323"/>
      <c r="C489" s="28">
        <f t="shared" si="147"/>
        <v>0</v>
      </c>
      <c r="D489" s="28">
        <v>0</v>
      </c>
      <c r="E489" s="28">
        <v>0</v>
      </c>
      <c r="F489" s="28">
        <v>0</v>
      </c>
      <c r="G489" s="28">
        <v>0</v>
      </c>
      <c r="H489" s="28">
        <f t="shared" si="140"/>
        <v>0</v>
      </c>
      <c r="I489" s="28">
        <v>0</v>
      </c>
      <c r="J489" s="28">
        <v>0</v>
      </c>
      <c r="K489" s="28">
        <v>0</v>
      </c>
      <c r="L489" s="348"/>
      <c r="M489" s="348"/>
      <c r="N489" s="374"/>
      <c r="O489" s="374"/>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row>
    <row r="490" spans="1:42" s="10" customFormat="1" ht="15" customHeight="1">
      <c r="A490" s="323" t="s">
        <v>48</v>
      </c>
      <c r="B490" s="323"/>
      <c r="C490" s="28">
        <f t="shared" si="147"/>
        <v>0</v>
      </c>
      <c r="D490" s="28">
        <v>0</v>
      </c>
      <c r="E490" s="28">
        <v>0</v>
      </c>
      <c r="F490" s="28">
        <v>0</v>
      </c>
      <c r="G490" s="28">
        <v>0</v>
      </c>
      <c r="H490" s="28">
        <f t="shared" si="140"/>
        <v>0</v>
      </c>
      <c r="I490" s="28">
        <v>0</v>
      </c>
      <c r="J490" s="28">
        <v>0</v>
      </c>
      <c r="K490" s="28">
        <v>0</v>
      </c>
      <c r="L490" s="348"/>
      <c r="M490" s="348"/>
      <c r="N490" s="374"/>
      <c r="O490" s="374"/>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row>
    <row r="491" spans="1:42" s="10" customFormat="1" ht="15" customHeight="1">
      <c r="A491" s="323" t="s">
        <v>49</v>
      </c>
      <c r="B491" s="323"/>
      <c r="C491" s="28">
        <f t="shared" si="147"/>
        <v>0</v>
      </c>
      <c r="D491" s="28">
        <v>0</v>
      </c>
      <c r="E491" s="28">
        <v>0</v>
      </c>
      <c r="F491" s="28">
        <v>0</v>
      </c>
      <c r="G491" s="28">
        <v>0</v>
      </c>
      <c r="H491" s="28">
        <f t="shared" si="140"/>
        <v>0</v>
      </c>
      <c r="I491" s="28">
        <v>0</v>
      </c>
      <c r="J491" s="28">
        <v>0</v>
      </c>
      <c r="K491" s="28">
        <v>0</v>
      </c>
      <c r="L491" s="348"/>
      <c r="M491" s="348"/>
      <c r="N491" s="374"/>
      <c r="O491" s="374"/>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row>
    <row r="492" spans="1:15" ht="39" customHeight="1">
      <c r="A492" s="329" t="s">
        <v>16</v>
      </c>
      <c r="B492" s="330"/>
      <c r="C492" s="330"/>
      <c r="D492" s="330"/>
      <c r="E492" s="330"/>
      <c r="F492" s="330"/>
      <c r="G492" s="331"/>
      <c r="H492" s="28"/>
      <c r="I492" s="28"/>
      <c r="J492" s="28"/>
      <c r="K492" s="28"/>
      <c r="L492" s="348" t="s">
        <v>218</v>
      </c>
      <c r="M492" s="348" t="s">
        <v>170</v>
      </c>
      <c r="N492" s="374"/>
      <c r="O492" s="374"/>
    </row>
    <row r="493" spans="1:15" ht="16.5" customHeight="1">
      <c r="A493" s="323" t="s">
        <v>52</v>
      </c>
      <c r="B493" s="323"/>
      <c r="C493" s="28">
        <f aca="true" t="shared" si="149" ref="C493:C498">SUM(E493:G493)</f>
        <v>0</v>
      </c>
      <c r="D493" s="28">
        <v>0</v>
      </c>
      <c r="E493" s="28">
        <f aca="true" t="shared" si="150" ref="E493:K493">E494+E495+E496+E497+E498</f>
        <v>0</v>
      </c>
      <c r="F493" s="28">
        <f t="shared" si="150"/>
        <v>0</v>
      </c>
      <c r="G493" s="28">
        <f t="shared" si="150"/>
        <v>0</v>
      </c>
      <c r="H493" s="28">
        <f t="shared" si="140"/>
        <v>0</v>
      </c>
      <c r="I493" s="28">
        <f t="shared" si="150"/>
        <v>0</v>
      </c>
      <c r="J493" s="28">
        <f t="shared" si="150"/>
        <v>0</v>
      </c>
      <c r="K493" s="28">
        <f t="shared" si="150"/>
        <v>0</v>
      </c>
      <c r="L493" s="348"/>
      <c r="M493" s="348"/>
      <c r="N493" s="374"/>
      <c r="O493" s="374"/>
    </row>
    <row r="494" spans="1:15" ht="15" customHeight="1">
      <c r="A494" s="323" t="s">
        <v>45</v>
      </c>
      <c r="B494" s="323"/>
      <c r="C494" s="28">
        <f t="shared" si="149"/>
        <v>0</v>
      </c>
      <c r="D494" s="28">
        <v>0</v>
      </c>
      <c r="E494" s="28">
        <v>0</v>
      </c>
      <c r="F494" s="28">
        <v>0</v>
      </c>
      <c r="G494" s="28">
        <v>0</v>
      </c>
      <c r="H494" s="28">
        <f t="shared" si="140"/>
        <v>0</v>
      </c>
      <c r="I494" s="28">
        <v>0</v>
      </c>
      <c r="J494" s="28">
        <v>0</v>
      </c>
      <c r="K494" s="28">
        <v>0</v>
      </c>
      <c r="L494" s="348"/>
      <c r="M494" s="348"/>
      <c r="N494" s="374"/>
      <c r="O494" s="374"/>
    </row>
    <row r="495" spans="1:15" ht="15" customHeight="1">
      <c r="A495" s="323" t="s">
        <v>46</v>
      </c>
      <c r="B495" s="323"/>
      <c r="C495" s="28">
        <f t="shared" si="149"/>
        <v>0</v>
      </c>
      <c r="D495" s="28">
        <v>0</v>
      </c>
      <c r="E495" s="28">
        <v>0</v>
      </c>
      <c r="F495" s="28">
        <v>0</v>
      </c>
      <c r="G495" s="28">
        <v>0</v>
      </c>
      <c r="H495" s="28">
        <f t="shared" si="140"/>
        <v>0</v>
      </c>
      <c r="I495" s="28">
        <v>0</v>
      </c>
      <c r="J495" s="28">
        <v>0</v>
      </c>
      <c r="K495" s="28">
        <v>0</v>
      </c>
      <c r="L495" s="348"/>
      <c r="M495" s="348"/>
      <c r="N495" s="374"/>
      <c r="O495" s="374"/>
    </row>
    <row r="496" spans="1:15" ht="15" customHeight="1">
      <c r="A496" s="323" t="s">
        <v>47</v>
      </c>
      <c r="B496" s="323"/>
      <c r="C496" s="28">
        <f t="shared" si="149"/>
        <v>0</v>
      </c>
      <c r="D496" s="28">
        <v>0</v>
      </c>
      <c r="E496" s="28">
        <v>0</v>
      </c>
      <c r="F496" s="28">
        <v>0</v>
      </c>
      <c r="G496" s="28">
        <v>0</v>
      </c>
      <c r="H496" s="28">
        <f t="shared" si="140"/>
        <v>0</v>
      </c>
      <c r="I496" s="28">
        <v>0</v>
      </c>
      <c r="J496" s="28">
        <v>0</v>
      </c>
      <c r="K496" s="28">
        <v>0</v>
      </c>
      <c r="L496" s="348"/>
      <c r="M496" s="348"/>
      <c r="N496" s="374"/>
      <c r="O496" s="374"/>
    </row>
    <row r="497" spans="1:15" ht="15" customHeight="1">
      <c r="A497" s="323" t="s">
        <v>48</v>
      </c>
      <c r="B497" s="323"/>
      <c r="C497" s="28">
        <f t="shared" si="149"/>
        <v>0</v>
      </c>
      <c r="D497" s="28">
        <v>0</v>
      </c>
      <c r="E497" s="28">
        <v>0</v>
      </c>
      <c r="F497" s="28">
        <v>0</v>
      </c>
      <c r="G497" s="28">
        <v>0</v>
      </c>
      <c r="H497" s="28">
        <f t="shared" si="140"/>
        <v>0</v>
      </c>
      <c r="I497" s="28">
        <v>0</v>
      </c>
      <c r="J497" s="28">
        <v>0</v>
      </c>
      <c r="K497" s="28">
        <v>0</v>
      </c>
      <c r="L497" s="348"/>
      <c r="M497" s="348"/>
      <c r="N497" s="374"/>
      <c r="O497" s="374"/>
    </row>
    <row r="498" spans="1:15" ht="15" customHeight="1">
      <c r="A498" s="323" t="s">
        <v>49</v>
      </c>
      <c r="B498" s="323"/>
      <c r="C498" s="28">
        <f t="shared" si="149"/>
        <v>0</v>
      </c>
      <c r="D498" s="28">
        <v>0</v>
      </c>
      <c r="E498" s="28">
        <v>0</v>
      </c>
      <c r="F498" s="28">
        <v>0</v>
      </c>
      <c r="G498" s="28">
        <v>0</v>
      </c>
      <c r="H498" s="28">
        <f t="shared" si="140"/>
        <v>0</v>
      </c>
      <c r="I498" s="28">
        <v>0</v>
      </c>
      <c r="J498" s="28">
        <v>0</v>
      </c>
      <c r="K498" s="28">
        <v>0</v>
      </c>
      <c r="L498" s="348"/>
      <c r="M498" s="348"/>
      <c r="N498" s="374"/>
      <c r="O498" s="374"/>
    </row>
    <row r="499" spans="1:15" ht="39" customHeight="1">
      <c r="A499" s="329" t="s">
        <v>11</v>
      </c>
      <c r="B499" s="330"/>
      <c r="C499" s="330"/>
      <c r="D499" s="330"/>
      <c r="E499" s="330"/>
      <c r="F499" s="330"/>
      <c r="G499" s="331"/>
      <c r="H499" s="28"/>
      <c r="I499" s="28"/>
      <c r="J499" s="28"/>
      <c r="K499" s="28"/>
      <c r="L499" s="348" t="s">
        <v>260</v>
      </c>
      <c r="M499" s="348" t="s">
        <v>170</v>
      </c>
      <c r="N499" s="375"/>
      <c r="O499" s="375"/>
    </row>
    <row r="500" spans="1:15" ht="15.75" customHeight="1">
      <c r="A500" s="323" t="s">
        <v>52</v>
      </c>
      <c r="B500" s="323"/>
      <c r="C500" s="28">
        <f aca="true" t="shared" si="151" ref="C500:C505">SUM(E500:G500)</f>
        <v>7191.138</v>
      </c>
      <c r="D500" s="28">
        <v>0</v>
      </c>
      <c r="E500" s="28">
        <f aca="true" t="shared" si="152" ref="E500:K500">E501+E502+E503+E504+E505</f>
        <v>0</v>
      </c>
      <c r="F500" s="28">
        <f t="shared" si="152"/>
        <v>3600</v>
      </c>
      <c r="G500" s="28">
        <f t="shared" si="152"/>
        <v>3591.138</v>
      </c>
      <c r="H500" s="28">
        <f t="shared" si="140"/>
        <v>291.138</v>
      </c>
      <c r="I500" s="28">
        <f t="shared" si="152"/>
        <v>291.138</v>
      </c>
      <c r="J500" s="28">
        <f t="shared" si="152"/>
        <v>0</v>
      </c>
      <c r="K500" s="28">
        <f t="shared" si="152"/>
        <v>0</v>
      </c>
      <c r="L500" s="348"/>
      <c r="M500" s="348"/>
      <c r="N500" s="375"/>
      <c r="O500" s="375"/>
    </row>
    <row r="501" spans="1:15" ht="15" customHeight="1">
      <c r="A501" s="323" t="s">
        <v>45</v>
      </c>
      <c r="B501" s="323"/>
      <c r="C501" s="28">
        <f t="shared" si="151"/>
        <v>0</v>
      </c>
      <c r="D501" s="28">
        <v>0</v>
      </c>
      <c r="E501" s="28">
        <v>0</v>
      </c>
      <c r="F501" s="28">
        <v>0</v>
      </c>
      <c r="G501" s="28">
        <v>0</v>
      </c>
      <c r="H501" s="28">
        <f t="shared" si="140"/>
        <v>0</v>
      </c>
      <c r="I501" s="28">
        <v>0</v>
      </c>
      <c r="J501" s="28">
        <v>0</v>
      </c>
      <c r="K501" s="28">
        <v>0</v>
      </c>
      <c r="L501" s="348"/>
      <c r="M501" s="348"/>
      <c r="N501" s="375"/>
      <c r="O501" s="375"/>
    </row>
    <row r="502" spans="1:15" ht="15" customHeight="1">
      <c r="A502" s="323" t="s">
        <v>46</v>
      </c>
      <c r="B502" s="323"/>
      <c r="C502" s="28">
        <f t="shared" si="151"/>
        <v>7191.138</v>
      </c>
      <c r="D502" s="28">
        <v>0</v>
      </c>
      <c r="E502" s="28">
        <v>0</v>
      </c>
      <c r="F502" s="28">
        <v>3600</v>
      </c>
      <c r="G502" s="28">
        <v>3591.138</v>
      </c>
      <c r="H502" s="28">
        <f t="shared" si="140"/>
        <v>291.138</v>
      </c>
      <c r="I502" s="28">
        <v>291.138</v>
      </c>
      <c r="J502" s="28">
        <v>0</v>
      </c>
      <c r="K502" s="28">
        <v>0</v>
      </c>
      <c r="L502" s="348"/>
      <c r="M502" s="348"/>
      <c r="N502" s="375"/>
      <c r="O502" s="375"/>
    </row>
    <row r="503" spans="1:15" ht="15" customHeight="1">
      <c r="A503" s="323" t="s">
        <v>47</v>
      </c>
      <c r="B503" s="323"/>
      <c r="C503" s="28">
        <f t="shared" si="151"/>
        <v>0</v>
      </c>
      <c r="D503" s="28">
        <v>0</v>
      </c>
      <c r="E503" s="28">
        <v>0</v>
      </c>
      <c r="F503" s="28">
        <v>0</v>
      </c>
      <c r="G503" s="28">
        <v>0</v>
      </c>
      <c r="H503" s="28">
        <f t="shared" si="140"/>
        <v>0</v>
      </c>
      <c r="I503" s="28">
        <v>0</v>
      </c>
      <c r="J503" s="28">
        <v>0</v>
      </c>
      <c r="K503" s="28">
        <v>0</v>
      </c>
      <c r="L503" s="348"/>
      <c r="M503" s="348"/>
      <c r="N503" s="375"/>
      <c r="O503" s="375"/>
    </row>
    <row r="504" spans="1:15" ht="15" customHeight="1">
      <c r="A504" s="323" t="s">
        <v>48</v>
      </c>
      <c r="B504" s="323"/>
      <c r="C504" s="28">
        <f t="shared" si="151"/>
        <v>0</v>
      </c>
      <c r="D504" s="28">
        <v>0</v>
      </c>
      <c r="E504" s="28">
        <v>0</v>
      </c>
      <c r="F504" s="28">
        <v>0</v>
      </c>
      <c r="G504" s="28">
        <v>0</v>
      </c>
      <c r="H504" s="28">
        <f t="shared" si="140"/>
        <v>0</v>
      </c>
      <c r="I504" s="28">
        <v>0</v>
      </c>
      <c r="J504" s="28">
        <v>0</v>
      </c>
      <c r="K504" s="28">
        <v>0</v>
      </c>
      <c r="L504" s="348"/>
      <c r="M504" s="348"/>
      <c r="N504" s="375"/>
      <c r="O504" s="375"/>
    </row>
    <row r="505" spans="1:15" ht="15" customHeight="1">
      <c r="A505" s="323" t="s">
        <v>49</v>
      </c>
      <c r="B505" s="323"/>
      <c r="C505" s="28">
        <f t="shared" si="151"/>
        <v>0</v>
      </c>
      <c r="D505" s="28">
        <v>0</v>
      </c>
      <c r="E505" s="28">
        <v>0</v>
      </c>
      <c r="F505" s="28">
        <v>0</v>
      </c>
      <c r="G505" s="28">
        <v>0</v>
      </c>
      <c r="H505" s="28">
        <f t="shared" si="140"/>
        <v>0</v>
      </c>
      <c r="I505" s="28">
        <v>0</v>
      </c>
      <c r="J505" s="28">
        <v>0</v>
      </c>
      <c r="K505" s="28">
        <v>0</v>
      </c>
      <c r="L505" s="348"/>
      <c r="M505" s="348"/>
      <c r="N505" s="375"/>
      <c r="O505" s="375"/>
    </row>
    <row r="506" spans="1:15" ht="47.25" customHeight="1">
      <c r="A506" s="329" t="s">
        <v>12</v>
      </c>
      <c r="B506" s="330"/>
      <c r="C506" s="330"/>
      <c r="D506" s="330"/>
      <c r="E506" s="330"/>
      <c r="F506" s="330"/>
      <c r="G506" s="331"/>
      <c r="H506" s="28"/>
      <c r="I506" s="28"/>
      <c r="J506" s="28"/>
      <c r="K506" s="28"/>
      <c r="L506" s="348" t="s">
        <v>206</v>
      </c>
      <c r="M506" s="348" t="s">
        <v>170</v>
      </c>
      <c r="N506" s="315"/>
      <c r="O506" s="315"/>
    </row>
    <row r="507" spans="1:15" ht="15.75" customHeight="1">
      <c r="A507" s="323" t="s">
        <v>52</v>
      </c>
      <c r="B507" s="323"/>
      <c r="C507" s="28">
        <f aca="true" t="shared" si="153" ref="C507:C512">SUM(E507:G507)</f>
        <v>3054.87</v>
      </c>
      <c r="D507" s="28">
        <v>0</v>
      </c>
      <c r="E507" s="28">
        <f aca="true" t="shared" si="154" ref="E507:K507">E508+E509+E510+E511+E512</f>
        <v>3054.87</v>
      </c>
      <c r="F507" s="28">
        <f t="shared" si="154"/>
        <v>0</v>
      </c>
      <c r="G507" s="28">
        <f t="shared" si="154"/>
        <v>0</v>
      </c>
      <c r="H507" s="28">
        <f t="shared" si="140"/>
        <v>0</v>
      </c>
      <c r="I507" s="28">
        <f t="shared" si="154"/>
        <v>0</v>
      </c>
      <c r="J507" s="28">
        <f t="shared" si="154"/>
        <v>0</v>
      </c>
      <c r="K507" s="28">
        <f t="shared" si="154"/>
        <v>0</v>
      </c>
      <c r="L507" s="348"/>
      <c r="M507" s="348"/>
      <c r="N507" s="315"/>
      <c r="O507" s="315"/>
    </row>
    <row r="508" spans="1:15" ht="15" customHeight="1">
      <c r="A508" s="323" t="s">
        <v>45</v>
      </c>
      <c r="B508" s="323"/>
      <c r="C508" s="28">
        <f t="shared" si="153"/>
        <v>0</v>
      </c>
      <c r="D508" s="28">
        <v>0</v>
      </c>
      <c r="E508" s="28">
        <v>0</v>
      </c>
      <c r="F508" s="28">
        <v>0</v>
      </c>
      <c r="G508" s="28">
        <v>0</v>
      </c>
      <c r="H508" s="28">
        <f t="shared" si="140"/>
        <v>0</v>
      </c>
      <c r="I508" s="28">
        <v>0</v>
      </c>
      <c r="J508" s="28">
        <v>0</v>
      </c>
      <c r="K508" s="28">
        <v>0</v>
      </c>
      <c r="L508" s="348"/>
      <c r="M508" s="348"/>
      <c r="N508" s="315"/>
      <c r="O508" s="315"/>
    </row>
    <row r="509" spans="1:15" ht="15" customHeight="1">
      <c r="A509" s="323" t="s">
        <v>46</v>
      </c>
      <c r="B509" s="323"/>
      <c r="C509" s="28">
        <f t="shared" si="153"/>
        <v>3054.87</v>
      </c>
      <c r="D509" s="28">
        <v>0</v>
      </c>
      <c r="E509" s="28">
        <v>3054.87</v>
      </c>
      <c r="F509" s="28">
        <v>0</v>
      </c>
      <c r="G509" s="28">
        <v>0</v>
      </c>
      <c r="H509" s="28">
        <f t="shared" si="140"/>
        <v>0</v>
      </c>
      <c r="I509" s="28">
        <v>0</v>
      </c>
      <c r="J509" s="28">
        <v>0</v>
      </c>
      <c r="K509" s="28">
        <v>0</v>
      </c>
      <c r="L509" s="348"/>
      <c r="M509" s="348"/>
      <c r="N509" s="315"/>
      <c r="O509" s="315"/>
    </row>
    <row r="510" spans="1:15" ht="15" customHeight="1">
      <c r="A510" s="323" t="s">
        <v>47</v>
      </c>
      <c r="B510" s="323"/>
      <c r="C510" s="28">
        <f t="shared" si="153"/>
        <v>0</v>
      </c>
      <c r="D510" s="28">
        <v>0</v>
      </c>
      <c r="E510" s="28">
        <v>0</v>
      </c>
      <c r="F510" s="28">
        <v>0</v>
      </c>
      <c r="G510" s="28">
        <v>0</v>
      </c>
      <c r="H510" s="28">
        <f t="shared" si="140"/>
        <v>0</v>
      </c>
      <c r="I510" s="28">
        <v>0</v>
      </c>
      <c r="J510" s="28">
        <v>0</v>
      </c>
      <c r="K510" s="28">
        <v>0</v>
      </c>
      <c r="L510" s="348"/>
      <c r="M510" s="348"/>
      <c r="N510" s="315"/>
      <c r="O510" s="315"/>
    </row>
    <row r="511" spans="1:15" ht="15" customHeight="1">
      <c r="A511" s="323" t="s">
        <v>48</v>
      </c>
      <c r="B511" s="323"/>
      <c r="C511" s="28">
        <f t="shared" si="153"/>
        <v>0</v>
      </c>
      <c r="D511" s="28">
        <v>0</v>
      </c>
      <c r="E511" s="28">
        <v>0</v>
      </c>
      <c r="F511" s="28">
        <v>0</v>
      </c>
      <c r="G511" s="28">
        <v>0</v>
      </c>
      <c r="H511" s="28">
        <f t="shared" si="140"/>
        <v>0</v>
      </c>
      <c r="I511" s="28">
        <v>0</v>
      </c>
      <c r="J511" s="28">
        <v>0</v>
      </c>
      <c r="K511" s="28">
        <v>0</v>
      </c>
      <c r="L511" s="348"/>
      <c r="M511" s="348"/>
      <c r="N511" s="315"/>
      <c r="O511" s="315"/>
    </row>
    <row r="512" spans="1:15" ht="15" customHeight="1">
      <c r="A512" s="323" t="s">
        <v>49</v>
      </c>
      <c r="B512" s="323"/>
      <c r="C512" s="28">
        <f t="shared" si="153"/>
        <v>0</v>
      </c>
      <c r="D512" s="28">
        <v>0</v>
      </c>
      <c r="E512" s="28">
        <v>0</v>
      </c>
      <c r="F512" s="28">
        <v>0</v>
      </c>
      <c r="G512" s="28">
        <v>0</v>
      </c>
      <c r="H512" s="28">
        <f t="shared" si="140"/>
        <v>0</v>
      </c>
      <c r="I512" s="28">
        <v>0</v>
      </c>
      <c r="J512" s="28">
        <v>0</v>
      </c>
      <c r="K512" s="28">
        <v>0</v>
      </c>
      <c r="L512" s="348"/>
      <c r="M512" s="348"/>
      <c r="N512" s="315"/>
      <c r="O512" s="315"/>
    </row>
    <row r="513" spans="1:15" ht="26.25" customHeight="1">
      <c r="A513" s="329" t="s">
        <v>30</v>
      </c>
      <c r="B513" s="330"/>
      <c r="C513" s="330"/>
      <c r="D513" s="330"/>
      <c r="E513" s="330"/>
      <c r="F513" s="330"/>
      <c r="G513" s="331"/>
      <c r="H513" s="28"/>
      <c r="I513" s="28"/>
      <c r="J513" s="28"/>
      <c r="K513" s="28"/>
      <c r="L513" s="348" t="s">
        <v>246</v>
      </c>
      <c r="M513" s="348" t="s">
        <v>170</v>
      </c>
      <c r="N513" s="315"/>
      <c r="O513" s="315"/>
    </row>
    <row r="514" spans="1:15" ht="15" customHeight="1">
      <c r="A514" s="323" t="s">
        <v>52</v>
      </c>
      <c r="B514" s="323"/>
      <c r="C514" s="28">
        <f aca="true" t="shared" si="155" ref="C514:K514">C515+C516+C517+C518+C519</f>
        <v>0</v>
      </c>
      <c r="D514" s="28">
        <f t="shared" si="155"/>
        <v>0</v>
      </c>
      <c r="E514" s="28">
        <f t="shared" si="155"/>
        <v>0</v>
      </c>
      <c r="F514" s="28">
        <f t="shared" si="155"/>
        <v>10000</v>
      </c>
      <c r="G514" s="28">
        <f t="shared" si="155"/>
        <v>0</v>
      </c>
      <c r="H514" s="28">
        <f t="shared" si="140"/>
        <v>0</v>
      </c>
      <c r="I514" s="28">
        <f t="shared" si="155"/>
        <v>0</v>
      </c>
      <c r="J514" s="28">
        <f t="shared" si="155"/>
        <v>0</v>
      </c>
      <c r="K514" s="28">
        <f t="shared" si="155"/>
        <v>0</v>
      </c>
      <c r="L514" s="348"/>
      <c r="M514" s="348"/>
      <c r="N514" s="315"/>
      <c r="O514" s="315"/>
    </row>
    <row r="515" spans="1:15" ht="15" customHeight="1">
      <c r="A515" s="323" t="s">
        <v>45</v>
      </c>
      <c r="B515" s="323"/>
      <c r="C515" s="28">
        <f>SUM(E515:G515)</f>
        <v>0</v>
      </c>
      <c r="D515" s="28">
        <v>0</v>
      </c>
      <c r="E515" s="28">
        <v>0</v>
      </c>
      <c r="F515" s="28"/>
      <c r="G515" s="28">
        <v>0</v>
      </c>
      <c r="H515" s="28">
        <f t="shared" si="140"/>
        <v>0</v>
      </c>
      <c r="I515" s="28">
        <v>0</v>
      </c>
      <c r="J515" s="28">
        <v>0</v>
      </c>
      <c r="K515" s="28">
        <v>0</v>
      </c>
      <c r="L515" s="348"/>
      <c r="M515" s="348"/>
      <c r="N515" s="315"/>
      <c r="O515" s="315"/>
    </row>
    <row r="516" spans="1:15" ht="15" customHeight="1">
      <c r="A516" s="323" t="s">
        <v>46</v>
      </c>
      <c r="B516" s="323"/>
      <c r="C516" s="28">
        <v>0</v>
      </c>
      <c r="D516" s="28">
        <v>0</v>
      </c>
      <c r="E516" s="28">
        <v>0</v>
      </c>
      <c r="F516" s="28">
        <v>10000</v>
      </c>
      <c r="G516" s="28">
        <v>0</v>
      </c>
      <c r="H516" s="28">
        <f t="shared" si="140"/>
        <v>0</v>
      </c>
      <c r="I516" s="28">
        <v>0</v>
      </c>
      <c r="J516" s="28">
        <v>0</v>
      </c>
      <c r="K516" s="28">
        <v>0</v>
      </c>
      <c r="L516" s="348"/>
      <c r="M516" s="348"/>
      <c r="N516" s="315"/>
      <c r="O516" s="315"/>
    </row>
    <row r="517" spans="1:15" ht="15" customHeight="1">
      <c r="A517" s="323" t="s">
        <v>47</v>
      </c>
      <c r="B517" s="323"/>
      <c r="C517" s="28">
        <f>SUM(E517:G517)</f>
        <v>0</v>
      </c>
      <c r="D517" s="28">
        <v>0</v>
      </c>
      <c r="E517" s="28">
        <v>0</v>
      </c>
      <c r="F517" s="28"/>
      <c r="G517" s="28">
        <v>0</v>
      </c>
      <c r="H517" s="28">
        <f t="shared" si="140"/>
        <v>0</v>
      </c>
      <c r="I517" s="28">
        <v>0</v>
      </c>
      <c r="J517" s="28">
        <v>0</v>
      </c>
      <c r="K517" s="28">
        <v>0</v>
      </c>
      <c r="L517" s="348"/>
      <c r="M517" s="348"/>
      <c r="N517" s="315"/>
      <c r="O517" s="315"/>
    </row>
    <row r="518" spans="1:15" ht="15" customHeight="1">
      <c r="A518" s="323" t="s">
        <v>48</v>
      </c>
      <c r="B518" s="323"/>
      <c r="C518" s="28">
        <f>SUM(E518:G518)</f>
        <v>0</v>
      </c>
      <c r="D518" s="28">
        <v>0</v>
      </c>
      <c r="E518" s="28">
        <v>0</v>
      </c>
      <c r="F518" s="28"/>
      <c r="G518" s="28">
        <v>0</v>
      </c>
      <c r="H518" s="28">
        <f t="shared" si="140"/>
        <v>0</v>
      </c>
      <c r="I518" s="28">
        <v>0</v>
      </c>
      <c r="J518" s="28">
        <v>0</v>
      </c>
      <c r="K518" s="28">
        <v>0</v>
      </c>
      <c r="L518" s="348"/>
      <c r="M518" s="348"/>
      <c r="N518" s="315"/>
      <c r="O518" s="315"/>
    </row>
    <row r="519" spans="1:15" ht="15" customHeight="1">
      <c r="A519" s="323" t="s">
        <v>49</v>
      </c>
      <c r="B519" s="323"/>
      <c r="C519" s="28">
        <v>0</v>
      </c>
      <c r="D519" s="28">
        <v>0</v>
      </c>
      <c r="E519" s="28">
        <v>0</v>
      </c>
      <c r="F519" s="28"/>
      <c r="G519" s="28">
        <v>0</v>
      </c>
      <c r="H519" s="28">
        <f t="shared" si="140"/>
        <v>0</v>
      </c>
      <c r="I519" s="28">
        <v>0</v>
      </c>
      <c r="J519" s="28">
        <v>0</v>
      </c>
      <c r="K519" s="28">
        <v>0</v>
      </c>
      <c r="L519" s="348"/>
      <c r="M519" s="348"/>
      <c r="N519" s="315"/>
      <c r="O519" s="315"/>
    </row>
    <row r="520" spans="1:15" ht="45.75" customHeight="1">
      <c r="A520" s="329" t="s">
        <v>245</v>
      </c>
      <c r="B520" s="330"/>
      <c r="C520" s="330"/>
      <c r="D520" s="330"/>
      <c r="E520" s="330"/>
      <c r="F520" s="330"/>
      <c r="G520" s="331"/>
      <c r="H520" s="28"/>
      <c r="I520" s="28"/>
      <c r="J520" s="28"/>
      <c r="K520" s="28"/>
      <c r="L520" s="348" t="s">
        <v>206</v>
      </c>
      <c r="M520" s="348" t="s">
        <v>170</v>
      </c>
      <c r="N520" s="315"/>
      <c r="O520" s="315"/>
    </row>
    <row r="521" spans="1:15" ht="15" customHeight="1">
      <c r="A521" s="323" t="s">
        <v>52</v>
      </c>
      <c r="B521" s="323"/>
      <c r="C521" s="28">
        <f>C522+C523+C524+C525+C526</f>
        <v>0</v>
      </c>
      <c r="D521" s="28">
        <f>D522+D523+D524+D525+D526</f>
        <v>0</v>
      </c>
      <c r="E521" s="28">
        <f>E522+E523+E524+E525+E526</f>
        <v>0</v>
      </c>
      <c r="F521" s="28">
        <f>F522+F523+F524+F525+F526</f>
        <v>0</v>
      </c>
      <c r="G521" s="28">
        <v>0</v>
      </c>
      <c r="H521" s="28">
        <f t="shared" si="140"/>
        <v>15000</v>
      </c>
      <c r="I521" s="28">
        <f>I522+I523+I524+I525+I526</f>
        <v>15000</v>
      </c>
      <c r="J521" s="28">
        <f>J522+J523+J524+J525+J526</f>
        <v>0</v>
      </c>
      <c r="K521" s="28">
        <f>K522+K523+K524+K525+K526</f>
        <v>0</v>
      </c>
      <c r="L521" s="348"/>
      <c r="M521" s="348"/>
      <c r="N521" s="315"/>
      <c r="O521" s="315"/>
    </row>
    <row r="522" spans="1:15" ht="15" customHeight="1">
      <c r="A522" s="323" t="s">
        <v>45</v>
      </c>
      <c r="B522" s="323"/>
      <c r="C522" s="28">
        <f>SUM(E522:G522)</f>
        <v>0</v>
      </c>
      <c r="D522" s="28">
        <v>0</v>
      </c>
      <c r="E522" s="28">
        <v>0</v>
      </c>
      <c r="F522" s="28">
        <v>0</v>
      </c>
      <c r="G522" s="28">
        <v>0</v>
      </c>
      <c r="H522" s="28">
        <f t="shared" si="140"/>
        <v>0</v>
      </c>
      <c r="I522" s="28">
        <v>0</v>
      </c>
      <c r="J522" s="28">
        <f>J523+J524+J525+J526+J550</f>
        <v>0</v>
      </c>
      <c r="K522" s="28">
        <f>K523+K524+K525+K526+K550</f>
        <v>0</v>
      </c>
      <c r="L522" s="348"/>
      <c r="M522" s="348"/>
      <c r="N522" s="315"/>
      <c r="O522" s="315"/>
    </row>
    <row r="523" spans="1:15" ht="15" customHeight="1">
      <c r="A523" s="323" t="s">
        <v>46</v>
      </c>
      <c r="B523" s="323"/>
      <c r="C523" s="28">
        <v>0</v>
      </c>
      <c r="D523" s="28">
        <v>0</v>
      </c>
      <c r="E523" s="28">
        <v>0</v>
      </c>
      <c r="F523" s="28">
        <v>0</v>
      </c>
      <c r="G523" s="28">
        <v>0</v>
      </c>
      <c r="H523" s="28">
        <f t="shared" si="140"/>
        <v>15000</v>
      </c>
      <c r="I523" s="28">
        <v>15000</v>
      </c>
      <c r="J523" s="28">
        <v>0</v>
      </c>
      <c r="K523" s="28">
        <v>0</v>
      </c>
      <c r="L523" s="348"/>
      <c r="M523" s="348"/>
      <c r="N523" s="315"/>
      <c r="O523" s="315"/>
    </row>
    <row r="524" spans="1:15" ht="15" customHeight="1">
      <c r="A524" s="323" t="s">
        <v>47</v>
      </c>
      <c r="B524" s="323"/>
      <c r="C524" s="28">
        <f>SUM(E524:G524)</f>
        <v>0</v>
      </c>
      <c r="D524" s="28">
        <v>0</v>
      </c>
      <c r="E524" s="28">
        <v>0</v>
      </c>
      <c r="F524" s="28">
        <v>0</v>
      </c>
      <c r="G524" s="28">
        <v>0</v>
      </c>
      <c r="H524" s="28">
        <f t="shared" si="140"/>
        <v>0</v>
      </c>
      <c r="I524" s="28">
        <v>0</v>
      </c>
      <c r="J524" s="28">
        <v>0</v>
      </c>
      <c r="K524" s="28">
        <v>0</v>
      </c>
      <c r="L524" s="348"/>
      <c r="M524" s="348"/>
      <c r="N524" s="315"/>
      <c r="O524" s="315"/>
    </row>
    <row r="525" spans="1:15" ht="15" customHeight="1">
      <c r="A525" s="323" t="s">
        <v>48</v>
      </c>
      <c r="B525" s="323"/>
      <c r="C525" s="28">
        <f>SUM(E525:G525)</f>
        <v>0</v>
      </c>
      <c r="D525" s="28">
        <v>0</v>
      </c>
      <c r="E525" s="28">
        <v>0</v>
      </c>
      <c r="F525" s="28">
        <v>0</v>
      </c>
      <c r="G525" s="28">
        <v>0</v>
      </c>
      <c r="H525" s="28">
        <f t="shared" si="140"/>
        <v>0</v>
      </c>
      <c r="I525" s="28">
        <v>0</v>
      </c>
      <c r="J525" s="28">
        <v>0</v>
      </c>
      <c r="K525" s="28">
        <v>0</v>
      </c>
      <c r="L525" s="348"/>
      <c r="M525" s="348"/>
      <c r="N525" s="315"/>
      <c r="O525" s="315"/>
    </row>
    <row r="526" spans="1:15" ht="15" customHeight="1">
      <c r="A526" s="323" t="s">
        <v>49</v>
      </c>
      <c r="B526" s="323"/>
      <c r="C526" s="28">
        <v>0</v>
      </c>
      <c r="D526" s="28">
        <v>0</v>
      </c>
      <c r="E526" s="28">
        <v>0</v>
      </c>
      <c r="F526" s="28">
        <v>0</v>
      </c>
      <c r="G526" s="28">
        <v>0</v>
      </c>
      <c r="H526" s="28">
        <f t="shared" si="140"/>
        <v>0</v>
      </c>
      <c r="I526" s="28">
        <v>0</v>
      </c>
      <c r="J526" s="28">
        <v>0</v>
      </c>
      <c r="K526" s="28">
        <v>0</v>
      </c>
      <c r="L526" s="348"/>
      <c r="M526" s="348"/>
      <c r="N526" s="315"/>
      <c r="O526" s="315"/>
    </row>
    <row r="527" spans="1:15" ht="45" customHeight="1">
      <c r="A527" s="376" t="s">
        <v>259</v>
      </c>
      <c r="B527" s="377"/>
      <c r="C527" s="28"/>
      <c r="D527" s="28"/>
      <c r="E527" s="28"/>
      <c r="F527" s="28"/>
      <c r="G527" s="28"/>
      <c r="H527" s="28"/>
      <c r="I527" s="28"/>
      <c r="J527" s="28"/>
      <c r="K527" s="28"/>
      <c r="L527" s="308" t="s">
        <v>260</v>
      </c>
      <c r="M527" s="308" t="s">
        <v>170</v>
      </c>
      <c r="N527" s="303"/>
      <c r="O527" s="303"/>
    </row>
    <row r="528" spans="1:15" ht="15" customHeight="1">
      <c r="A528" s="323" t="s">
        <v>52</v>
      </c>
      <c r="B528" s="323"/>
      <c r="C528" s="28">
        <f>C529+C530+C531+C532+C533</f>
        <v>0</v>
      </c>
      <c r="D528" s="28">
        <f>D529+D530+D531+D532+D533</f>
        <v>0</v>
      </c>
      <c r="E528" s="28">
        <f>E529+E530+E531+E532+E533</f>
        <v>0</v>
      </c>
      <c r="F528" s="28">
        <f>F529+F530+F531+F532+F533</f>
        <v>0</v>
      </c>
      <c r="G528" s="28">
        <v>0</v>
      </c>
      <c r="H528" s="28">
        <f aca="true" t="shared" si="156" ref="H528:H590">I528+J528+K528</f>
        <v>17000</v>
      </c>
      <c r="I528" s="28">
        <f>I529+I530+I531+I532+I533</f>
        <v>17000</v>
      </c>
      <c r="J528" s="28">
        <f>J529+J530+J531+J532+J533</f>
        <v>0</v>
      </c>
      <c r="K528" s="28">
        <f>K529+K530+K531+K532+K533</f>
        <v>0</v>
      </c>
      <c r="L528" s="309"/>
      <c r="M528" s="309"/>
      <c r="N528" s="304"/>
      <c r="O528" s="304"/>
    </row>
    <row r="529" spans="1:15" ht="15" customHeight="1">
      <c r="A529" s="323" t="s">
        <v>45</v>
      </c>
      <c r="B529" s="323"/>
      <c r="C529" s="28">
        <f>SUM(E529:G529)</f>
        <v>0</v>
      </c>
      <c r="D529" s="28">
        <v>0</v>
      </c>
      <c r="E529" s="28">
        <v>0</v>
      </c>
      <c r="F529" s="28">
        <v>0</v>
      </c>
      <c r="G529" s="28">
        <v>0</v>
      </c>
      <c r="H529" s="28">
        <f t="shared" si="156"/>
        <v>0</v>
      </c>
      <c r="I529" s="28">
        <v>0</v>
      </c>
      <c r="J529" s="28">
        <f>J530+J531+J532+J533+J557</f>
        <v>0</v>
      </c>
      <c r="K529" s="28">
        <f>K530+K531+K532+K533+K557</f>
        <v>0</v>
      </c>
      <c r="L529" s="309"/>
      <c r="M529" s="309"/>
      <c r="N529" s="304"/>
      <c r="O529" s="304"/>
    </row>
    <row r="530" spans="1:15" ht="15" customHeight="1">
      <c r="A530" s="323" t="s">
        <v>46</v>
      </c>
      <c r="B530" s="323"/>
      <c r="C530" s="28">
        <v>0</v>
      </c>
      <c r="D530" s="28">
        <v>0</v>
      </c>
      <c r="E530" s="28">
        <v>0</v>
      </c>
      <c r="F530" s="28">
        <v>0</v>
      </c>
      <c r="G530" s="28">
        <v>0</v>
      </c>
      <c r="H530" s="28">
        <f t="shared" si="156"/>
        <v>17000</v>
      </c>
      <c r="I530" s="28">
        <v>17000</v>
      </c>
      <c r="J530" s="28">
        <v>0</v>
      </c>
      <c r="K530" s="28">
        <v>0</v>
      </c>
      <c r="L530" s="309"/>
      <c r="M530" s="309"/>
      <c r="N530" s="304"/>
      <c r="O530" s="304"/>
    </row>
    <row r="531" spans="1:15" ht="15" customHeight="1">
      <c r="A531" s="323" t="s">
        <v>47</v>
      </c>
      <c r="B531" s="323"/>
      <c r="C531" s="28">
        <f>SUM(E531:G531)</f>
        <v>0</v>
      </c>
      <c r="D531" s="28">
        <v>0</v>
      </c>
      <c r="E531" s="28">
        <v>0</v>
      </c>
      <c r="F531" s="28">
        <v>0</v>
      </c>
      <c r="G531" s="28">
        <v>0</v>
      </c>
      <c r="H531" s="28">
        <f t="shared" si="156"/>
        <v>0</v>
      </c>
      <c r="I531" s="28">
        <v>0</v>
      </c>
      <c r="J531" s="28">
        <v>0</v>
      </c>
      <c r="K531" s="28">
        <v>0</v>
      </c>
      <c r="L531" s="309"/>
      <c r="M531" s="309"/>
      <c r="N531" s="304"/>
      <c r="O531" s="304"/>
    </row>
    <row r="532" spans="1:15" ht="15" customHeight="1">
      <c r="A532" s="323" t="s">
        <v>48</v>
      </c>
      <c r="B532" s="323"/>
      <c r="C532" s="28">
        <f>SUM(E532:G532)</f>
        <v>0</v>
      </c>
      <c r="D532" s="28">
        <v>0</v>
      </c>
      <c r="E532" s="28">
        <v>0</v>
      </c>
      <c r="F532" s="28">
        <v>0</v>
      </c>
      <c r="G532" s="28">
        <v>0</v>
      </c>
      <c r="H532" s="28">
        <f t="shared" si="156"/>
        <v>0</v>
      </c>
      <c r="I532" s="28">
        <v>0</v>
      </c>
      <c r="J532" s="28">
        <v>0</v>
      </c>
      <c r="K532" s="28">
        <v>0</v>
      </c>
      <c r="L532" s="309"/>
      <c r="M532" s="309"/>
      <c r="N532" s="304"/>
      <c r="O532" s="304"/>
    </row>
    <row r="533" spans="1:15" ht="15" customHeight="1">
      <c r="A533" s="323" t="s">
        <v>49</v>
      </c>
      <c r="B533" s="323"/>
      <c r="C533" s="28">
        <v>0</v>
      </c>
      <c r="D533" s="28">
        <v>0</v>
      </c>
      <c r="E533" s="28">
        <v>0</v>
      </c>
      <c r="F533" s="28">
        <v>0</v>
      </c>
      <c r="G533" s="28">
        <v>0</v>
      </c>
      <c r="H533" s="28">
        <f t="shared" si="156"/>
        <v>0</v>
      </c>
      <c r="I533" s="28">
        <v>0</v>
      </c>
      <c r="J533" s="28">
        <v>0</v>
      </c>
      <c r="K533" s="28">
        <v>0</v>
      </c>
      <c r="L533" s="310"/>
      <c r="M533" s="310"/>
      <c r="N533" s="305"/>
      <c r="O533" s="305"/>
    </row>
    <row r="534" spans="1:15" ht="36.75" customHeight="1">
      <c r="A534" s="376" t="s">
        <v>277</v>
      </c>
      <c r="B534" s="377"/>
      <c r="C534" s="28"/>
      <c r="D534" s="28"/>
      <c r="E534" s="28"/>
      <c r="F534" s="28"/>
      <c r="G534" s="28"/>
      <c r="H534" s="28"/>
      <c r="I534" s="28"/>
      <c r="J534" s="28"/>
      <c r="K534" s="28"/>
      <c r="L534" s="308" t="s">
        <v>206</v>
      </c>
      <c r="M534" s="308" t="s">
        <v>170</v>
      </c>
      <c r="N534" s="303"/>
      <c r="O534" s="303"/>
    </row>
    <row r="535" spans="1:15" ht="15" customHeight="1">
      <c r="A535" s="323" t="s">
        <v>52</v>
      </c>
      <c r="B535" s="323"/>
      <c r="C535" s="28">
        <f>C536+C537+C538+C539+C540</f>
        <v>0</v>
      </c>
      <c r="D535" s="28">
        <f>D536+D537+D538+D539+D540</f>
        <v>0</v>
      </c>
      <c r="E535" s="28">
        <f>E536+E537+E538+E539+E540</f>
        <v>0</v>
      </c>
      <c r="F535" s="28">
        <f>F536+F537+F538+F539+F540</f>
        <v>0</v>
      </c>
      <c r="G535" s="28">
        <v>0</v>
      </c>
      <c r="H535" s="28">
        <f t="shared" si="156"/>
        <v>1027225.28</v>
      </c>
      <c r="I535" s="28">
        <f>I536+I537+I538+I539+I540</f>
        <v>106000</v>
      </c>
      <c r="J535" s="28">
        <f>J536+J537+J538+J539+J540</f>
        <v>450742.7</v>
      </c>
      <c r="K535" s="28">
        <f>K536+K537+K538+K539+K540</f>
        <v>470482.58</v>
      </c>
      <c r="L535" s="309"/>
      <c r="M535" s="309"/>
      <c r="N535" s="304"/>
      <c r="O535" s="304"/>
    </row>
    <row r="536" spans="1:15" ht="15" customHeight="1">
      <c r="A536" s="323" t="s">
        <v>45</v>
      </c>
      <c r="B536" s="323"/>
      <c r="C536" s="28">
        <f>SUM(E536:G536)</f>
        <v>0</v>
      </c>
      <c r="D536" s="28">
        <v>0</v>
      </c>
      <c r="E536" s="28">
        <v>0</v>
      </c>
      <c r="F536" s="28">
        <v>0</v>
      </c>
      <c r="G536" s="28">
        <v>0</v>
      </c>
      <c r="H536" s="28">
        <f t="shared" si="156"/>
        <v>460612.64</v>
      </c>
      <c r="I536" s="28">
        <v>0</v>
      </c>
      <c r="J536" s="28">
        <f>J537+J538+J539+J540+J563</f>
        <v>225371.35</v>
      </c>
      <c r="K536" s="28">
        <f>K537+K538+K539+K540+K563</f>
        <v>235241.29</v>
      </c>
      <c r="L536" s="309"/>
      <c r="M536" s="309"/>
      <c r="N536" s="304"/>
      <c r="O536" s="304"/>
    </row>
    <row r="537" spans="1:15" ht="15" customHeight="1">
      <c r="A537" s="323" t="s">
        <v>46</v>
      </c>
      <c r="B537" s="323"/>
      <c r="C537" s="28">
        <v>0</v>
      </c>
      <c r="D537" s="28">
        <v>0</v>
      </c>
      <c r="E537" s="28">
        <v>0</v>
      </c>
      <c r="F537" s="28">
        <v>0</v>
      </c>
      <c r="G537" s="28">
        <v>0</v>
      </c>
      <c r="H537" s="28">
        <f t="shared" si="156"/>
        <v>566612.64</v>
      </c>
      <c r="I537" s="28">
        <v>106000</v>
      </c>
      <c r="J537" s="28">
        <v>225371.35</v>
      </c>
      <c r="K537" s="28">
        <v>235241.29</v>
      </c>
      <c r="L537" s="309"/>
      <c r="M537" s="309"/>
      <c r="N537" s="304"/>
      <c r="O537" s="304"/>
    </row>
    <row r="538" spans="1:15" ht="15" customHeight="1">
      <c r="A538" s="323" t="s">
        <v>47</v>
      </c>
      <c r="B538" s="323"/>
      <c r="C538" s="28">
        <f>SUM(E538:G538)</f>
        <v>0</v>
      </c>
      <c r="D538" s="28">
        <v>0</v>
      </c>
      <c r="E538" s="28">
        <v>0</v>
      </c>
      <c r="F538" s="28">
        <v>0</v>
      </c>
      <c r="G538" s="28">
        <v>0</v>
      </c>
      <c r="H538" s="28">
        <f t="shared" si="156"/>
        <v>0</v>
      </c>
      <c r="I538" s="28">
        <v>0</v>
      </c>
      <c r="J538" s="28">
        <v>0</v>
      </c>
      <c r="K538" s="28">
        <v>0</v>
      </c>
      <c r="L538" s="309"/>
      <c r="M538" s="309"/>
      <c r="N538" s="304"/>
      <c r="O538" s="304"/>
    </row>
    <row r="539" spans="1:15" ht="15" customHeight="1">
      <c r="A539" s="323" t="s">
        <v>48</v>
      </c>
      <c r="B539" s="323"/>
      <c r="C539" s="28">
        <f>SUM(E539:G539)</f>
        <v>0</v>
      </c>
      <c r="D539" s="28">
        <v>0</v>
      </c>
      <c r="E539" s="28">
        <v>0</v>
      </c>
      <c r="F539" s="28">
        <v>0</v>
      </c>
      <c r="G539" s="28">
        <v>0</v>
      </c>
      <c r="H539" s="28">
        <f t="shared" si="156"/>
        <v>0</v>
      </c>
      <c r="I539" s="28">
        <v>0</v>
      </c>
      <c r="J539" s="28">
        <v>0</v>
      </c>
      <c r="K539" s="28">
        <v>0</v>
      </c>
      <c r="L539" s="309"/>
      <c r="M539" s="309"/>
      <c r="N539" s="304"/>
      <c r="O539" s="304"/>
    </row>
    <row r="540" spans="1:15" ht="15" customHeight="1">
      <c r="A540" s="323" t="s">
        <v>49</v>
      </c>
      <c r="B540" s="323"/>
      <c r="C540" s="28">
        <v>0</v>
      </c>
      <c r="D540" s="28">
        <v>0</v>
      </c>
      <c r="E540" s="28">
        <v>0</v>
      </c>
      <c r="F540" s="28">
        <v>0</v>
      </c>
      <c r="G540" s="28">
        <v>0</v>
      </c>
      <c r="H540" s="28">
        <f t="shared" si="156"/>
        <v>0</v>
      </c>
      <c r="I540" s="28">
        <v>0</v>
      </c>
      <c r="J540" s="28">
        <v>0</v>
      </c>
      <c r="K540" s="28">
        <v>0</v>
      </c>
      <c r="L540" s="310"/>
      <c r="M540" s="310"/>
      <c r="N540" s="305"/>
      <c r="O540" s="305"/>
    </row>
    <row r="541" spans="1:15" ht="51" customHeight="1">
      <c r="A541" s="324" t="s">
        <v>389</v>
      </c>
      <c r="B541" s="325"/>
      <c r="C541" s="159"/>
      <c r="D541" s="159"/>
      <c r="E541" s="159"/>
      <c r="F541" s="159"/>
      <c r="G541" s="160"/>
      <c r="H541" s="28"/>
      <c r="I541" s="28"/>
      <c r="J541" s="28"/>
      <c r="K541" s="28"/>
      <c r="L541" s="136"/>
      <c r="M541" s="136"/>
      <c r="N541" s="200"/>
      <c r="O541" s="217" t="s">
        <v>278</v>
      </c>
    </row>
    <row r="542" spans="1:15" ht="61.5" customHeight="1">
      <c r="A542" s="324" t="s">
        <v>279</v>
      </c>
      <c r="B542" s="325"/>
      <c r="C542" s="159"/>
      <c r="D542" s="159"/>
      <c r="E542" s="159"/>
      <c r="F542" s="159"/>
      <c r="G542" s="160"/>
      <c r="H542" s="28"/>
      <c r="I542" s="28"/>
      <c r="J542" s="28"/>
      <c r="K542" s="28"/>
      <c r="L542" s="136"/>
      <c r="M542" s="136"/>
      <c r="N542" s="200"/>
      <c r="O542" s="217" t="s">
        <v>257</v>
      </c>
    </row>
    <row r="543" spans="1:15" ht="50.25" customHeight="1">
      <c r="A543" s="324" t="s">
        <v>390</v>
      </c>
      <c r="B543" s="325"/>
      <c r="C543" s="159"/>
      <c r="D543" s="159"/>
      <c r="E543" s="159"/>
      <c r="F543" s="159"/>
      <c r="G543" s="160"/>
      <c r="H543" s="28"/>
      <c r="I543" s="28"/>
      <c r="J543" s="28"/>
      <c r="K543" s="28"/>
      <c r="L543" s="136"/>
      <c r="M543" s="136"/>
      <c r="N543" s="200"/>
      <c r="O543" s="217" t="s">
        <v>278</v>
      </c>
    </row>
    <row r="544" spans="1:15" ht="60" customHeight="1">
      <c r="A544" s="326" t="s">
        <v>14</v>
      </c>
      <c r="B544" s="327"/>
      <c r="C544" s="327"/>
      <c r="D544" s="327"/>
      <c r="E544" s="327"/>
      <c r="F544" s="327"/>
      <c r="G544" s="328"/>
      <c r="H544" s="28"/>
      <c r="I544" s="28"/>
      <c r="J544" s="28"/>
      <c r="K544" s="28"/>
      <c r="L544" s="348"/>
      <c r="M544" s="348"/>
      <c r="N544" s="315"/>
      <c r="O544" s="315"/>
    </row>
    <row r="545" spans="1:15" ht="15.75" customHeight="1">
      <c r="A545" s="323" t="s">
        <v>52</v>
      </c>
      <c r="B545" s="323"/>
      <c r="C545" s="28">
        <f>SUM(E545:G545)</f>
        <v>649977.25056</v>
      </c>
      <c r="D545" s="28">
        <f>D546+D548+D550+D551+D552+D549</f>
        <v>353516.682</v>
      </c>
      <c r="E545" s="28">
        <f aca="true" t="shared" si="157" ref="E545:K545">E546+E548+E550+E551+E552+E549</f>
        <v>348802.04</v>
      </c>
      <c r="F545" s="28">
        <f t="shared" si="157"/>
        <v>232790.64661999998</v>
      </c>
      <c r="G545" s="28">
        <f t="shared" si="157"/>
        <v>68384.56394</v>
      </c>
      <c r="H545" s="28">
        <f t="shared" si="156"/>
        <v>143593.714</v>
      </c>
      <c r="I545" s="28">
        <f t="shared" si="157"/>
        <v>143593.714</v>
      </c>
      <c r="J545" s="28">
        <f t="shared" si="157"/>
        <v>0</v>
      </c>
      <c r="K545" s="28">
        <f t="shared" si="157"/>
        <v>0</v>
      </c>
      <c r="L545" s="348"/>
      <c r="M545" s="348"/>
      <c r="N545" s="315"/>
      <c r="O545" s="315"/>
    </row>
    <row r="546" spans="1:15" ht="15" customHeight="1">
      <c r="A546" s="323" t="s">
        <v>45</v>
      </c>
      <c r="B546" s="323"/>
      <c r="C546" s="28">
        <f aca="true" t="shared" si="158" ref="C546:C552">SUM(E546:G546)</f>
        <v>95000</v>
      </c>
      <c r="D546" s="28">
        <f>D555</f>
        <v>30000</v>
      </c>
      <c r="E546" s="28">
        <f aca="true" t="shared" si="159" ref="E546:K546">E555</f>
        <v>95000</v>
      </c>
      <c r="F546" s="28">
        <f t="shared" si="159"/>
        <v>0</v>
      </c>
      <c r="G546" s="28">
        <f t="shared" si="159"/>
        <v>0</v>
      </c>
      <c r="H546" s="28">
        <f t="shared" si="156"/>
        <v>0</v>
      </c>
      <c r="I546" s="28">
        <f t="shared" si="159"/>
        <v>0</v>
      </c>
      <c r="J546" s="28">
        <f t="shared" si="159"/>
        <v>0</v>
      </c>
      <c r="K546" s="28">
        <f t="shared" si="159"/>
        <v>0</v>
      </c>
      <c r="L546" s="348"/>
      <c r="M546" s="348"/>
      <c r="N546" s="315"/>
      <c r="O546" s="315"/>
    </row>
    <row r="547" spans="1:15" ht="15" customHeight="1">
      <c r="A547" s="378" t="s">
        <v>46</v>
      </c>
      <c r="B547" s="378"/>
      <c r="C547" s="28">
        <f t="shared" si="158"/>
        <v>554977.25056</v>
      </c>
      <c r="D547" s="113">
        <f aca="true" t="shared" si="160" ref="D547:K547">D548+D549</f>
        <v>323516.682</v>
      </c>
      <c r="E547" s="113">
        <f t="shared" si="160"/>
        <v>253802.04</v>
      </c>
      <c r="F547" s="113">
        <f t="shared" si="160"/>
        <v>232790.64661999998</v>
      </c>
      <c r="G547" s="113">
        <f t="shared" si="160"/>
        <v>68384.56394</v>
      </c>
      <c r="H547" s="28">
        <f t="shared" si="156"/>
        <v>143593.714</v>
      </c>
      <c r="I547" s="113">
        <f t="shared" si="160"/>
        <v>143593.714</v>
      </c>
      <c r="J547" s="113">
        <f t="shared" si="160"/>
        <v>0</v>
      </c>
      <c r="K547" s="113">
        <f t="shared" si="160"/>
        <v>0</v>
      </c>
      <c r="L547" s="348"/>
      <c r="M547" s="348"/>
      <c r="N547" s="315"/>
      <c r="O547" s="315"/>
    </row>
    <row r="548" spans="1:15" ht="15" customHeight="1">
      <c r="A548" s="323" t="s">
        <v>46</v>
      </c>
      <c r="B548" s="323"/>
      <c r="C548" s="28">
        <f t="shared" si="158"/>
        <v>491744.67021999997</v>
      </c>
      <c r="D548" s="28">
        <f>D556+D563+D570+D584+D605+D612+D619+D626+D633+D640+D647+D654+D661</f>
        <v>323120.682</v>
      </c>
      <c r="E548" s="28">
        <f>E556+E563+E570+E584+E605+E612+E619+E626+E633+E640+E647+E654+E661</f>
        <v>223758</v>
      </c>
      <c r="F548" s="28">
        <f>F556+F563+F570+F584+F605+F612+F619+F626+F633+F640+F647+F654+F661</f>
        <v>223106.22952</v>
      </c>
      <c r="G548" s="28">
        <f>G556+G563+G570+G584+G605+G612+G619+G626+G633+G640+G647+G654+G661</f>
        <v>44880.4407</v>
      </c>
      <c r="H548" s="28">
        <f t="shared" si="156"/>
        <v>125393.714</v>
      </c>
      <c r="I548" s="28">
        <f>I556+I563+I570+I584+I605+I612+I619+I626+I633+I640+I647+I654+I661</f>
        <v>125393.714</v>
      </c>
      <c r="J548" s="28">
        <f>J556+J563+J570+J584+J619+J633+J640+J654</f>
        <v>0</v>
      </c>
      <c r="K548" s="28">
        <f>K556+K563+K570+K584+K619+K633+K640+K654</f>
        <v>0</v>
      </c>
      <c r="L548" s="348"/>
      <c r="M548" s="348"/>
      <c r="N548" s="315"/>
      <c r="O548" s="315"/>
    </row>
    <row r="549" spans="1:15" ht="15" customHeight="1">
      <c r="A549" s="323" t="s">
        <v>46</v>
      </c>
      <c r="B549" s="323"/>
      <c r="C549" s="28">
        <f t="shared" si="158"/>
        <v>63232.58034</v>
      </c>
      <c r="D549" s="28">
        <f aca="true" t="shared" si="161" ref="D549:K549">D577+D591+D598</f>
        <v>396</v>
      </c>
      <c r="E549" s="28">
        <f t="shared" si="161"/>
        <v>30044.04</v>
      </c>
      <c r="F549" s="28">
        <f t="shared" si="161"/>
        <v>9684.4171</v>
      </c>
      <c r="G549" s="28">
        <f t="shared" si="161"/>
        <v>23504.12324</v>
      </c>
      <c r="H549" s="28">
        <f t="shared" si="156"/>
        <v>18200</v>
      </c>
      <c r="I549" s="28">
        <f>I577+I591+I598</f>
        <v>18200</v>
      </c>
      <c r="J549" s="28">
        <f t="shared" si="161"/>
        <v>0</v>
      </c>
      <c r="K549" s="28">
        <f t="shared" si="161"/>
        <v>0</v>
      </c>
      <c r="L549" s="348"/>
      <c r="M549" s="348"/>
      <c r="N549" s="315"/>
      <c r="O549" s="315"/>
    </row>
    <row r="550" spans="1:15" ht="15" customHeight="1">
      <c r="A550" s="323" t="s">
        <v>47</v>
      </c>
      <c r="B550" s="323"/>
      <c r="C550" s="28">
        <f t="shared" si="158"/>
        <v>0</v>
      </c>
      <c r="D550" s="28">
        <v>0</v>
      </c>
      <c r="E550" s="28">
        <v>0</v>
      </c>
      <c r="F550" s="28">
        <v>0</v>
      </c>
      <c r="G550" s="28">
        <v>0</v>
      </c>
      <c r="H550" s="28">
        <f t="shared" si="156"/>
        <v>0</v>
      </c>
      <c r="I550" s="28">
        <v>0</v>
      </c>
      <c r="J550" s="28">
        <v>0</v>
      </c>
      <c r="K550" s="28">
        <v>0</v>
      </c>
      <c r="L550" s="348"/>
      <c r="M550" s="348"/>
      <c r="N550" s="315"/>
      <c r="O550" s="315"/>
    </row>
    <row r="551" spans="1:15" ht="15" customHeight="1">
      <c r="A551" s="323" t="s">
        <v>48</v>
      </c>
      <c r="B551" s="323"/>
      <c r="C551" s="28">
        <f t="shared" si="158"/>
        <v>0</v>
      </c>
      <c r="D551" s="28">
        <v>0</v>
      </c>
      <c r="E551" s="28">
        <v>0</v>
      </c>
      <c r="F551" s="28">
        <v>0</v>
      </c>
      <c r="G551" s="28">
        <v>0</v>
      </c>
      <c r="H551" s="28">
        <f t="shared" si="156"/>
        <v>0</v>
      </c>
      <c r="I551" s="28">
        <v>0</v>
      </c>
      <c r="J551" s="28">
        <v>0</v>
      </c>
      <c r="K551" s="28">
        <v>0</v>
      </c>
      <c r="L551" s="348"/>
      <c r="M551" s="348"/>
      <c r="N551" s="315"/>
      <c r="O551" s="315"/>
    </row>
    <row r="552" spans="1:15" ht="18" customHeight="1">
      <c r="A552" s="323" t="s">
        <v>49</v>
      </c>
      <c r="B552" s="323"/>
      <c r="C552" s="28">
        <f t="shared" si="158"/>
        <v>0</v>
      </c>
      <c r="D552" s="28">
        <v>0</v>
      </c>
      <c r="E552" s="28">
        <v>0</v>
      </c>
      <c r="F552" s="28">
        <v>0</v>
      </c>
      <c r="G552" s="28">
        <v>0</v>
      </c>
      <c r="H552" s="28">
        <f t="shared" si="156"/>
        <v>0</v>
      </c>
      <c r="I552" s="28">
        <v>0</v>
      </c>
      <c r="J552" s="28">
        <v>0</v>
      </c>
      <c r="K552" s="28">
        <v>0</v>
      </c>
      <c r="L552" s="348"/>
      <c r="M552" s="348"/>
      <c r="N552" s="315"/>
      <c r="O552" s="315"/>
    </row>
    <row r="553" spans="1:15" ht="81" customHeight="1">
      <c r="A553" s="329" t="s">
        <v>195</v>
      </c>
      <c r="B553" s="330"/>
      <c r="C553" s="330"/>
      <c r="D553" s="330"/>
      <c r="E553" s="330"/>
      <c r="F553" s="330"/>
      <c r="G553" s="331"/>
      <c r="H553" s="28"/>
      <c r="I553" s="28"/>
      <c r="J553" s="28"/>
      <c r="K553" s="28"/>
      <c r="L553" s="308" t="s">
        <v>260</v>
      </c>
      <c r="M553" s="348" t="s">
        <v>170</v>
      </c>
      <c r="N553" s="347"/>
      <c r="O553" s="347"/>
    </row>
    <row r="554" spans="1:15" ht="15" customHeight="1">
      <c r="A554" s="323" t="s">
        <v>52</v>
      </c>
      <c r="B554" s="323"/>
      <c r="C554" s="28">
        <f aca="true" t="shared" si="162" ref="C554:C559">SUM(E554:G554)</f>
        <v>194992.53149999998</v>
      </c>
      <c r="D554" s="28">
        <f>D555+D556+D557+D558+D559</f>
        <v>199240.553</v>
      </c>
      <c r="E554" s="28">
        <f>E555+E556+E557+E558+E559</f>
        <v>120000</v>
      </c>
      <c r="F554" s="28">
        <f>F555+F556+F557+F558+F559</f>
        <v>74657.165</v>
      </c>
      <c r="G554" s="28">
        <f>G555+G556+G557+G558+G559</f>
        <v>335.3665</v>
      </c>
      <c r="H554" s="28">
        <f t="shared" si="156"/>
        <v>0</v>
      </c>
      <c r="I554" s="28">
        <f>I555+I556+I557+I558</f>
        <v>0</v>
      </c>
      <c r="J554" s="28">
        <f>J555+J556+J557+J558</f>
        <v>0</v>
      </c>
      <c r="K554" s="28">
        <f>K555+K556+K557+K558</f>
        <v>0</v>
      </c>
      <c r="L554" s="309"/>
      <c r="M554" s="348"/>
      <c r="N554" s="347"/>
      <c r="O554" s="347"/>
    </row>
    <row r="555" spans="1:15" ht="15" customHeight="1">
      <c r="A555" s="323" t="s">
        <v>45</v>
      </c>
      <c r="B555" s="323"/>
      <c r="C555" s="28">
        <f t="shared" si="162"/>
        <v>95000</v>
      </c>
      <c r="D555" s="28">
        <v>30000</v>
      </c>
      <c r="E555" s="28">
        <v>95000</v>
      </c>
      <c r="F555" s="28">
        <v>0</v>
      </c>
      <c r="G555" s="28">
        <v>0</v>
      </c>
      <c r="H555" s="28">
        <f t="shared" si="156"/>
        <v>0</v>
      </c>
      <c r="I555" s="28">
        <v>0</v>
      </c>
      <c r="J555" s="28">
        <v>0</v>
      </c>
      <c r="K555" s="28">
        <v>0</v>
      </c>
      <c r="L555" s="309"/>
      <c r="M555" s="348"/>
      <c r="N555" s="347"/>
      <c r="O555" s="347"/>
    </row>
    <row r="556" spans="1:15" ht="15" customHeight="1">
      <c r="A556" s="323" t="s">
        <v>46</v>
      </c>
      <c r="B556" s="323"/>
      <c r="C556" s="28">
        <f t="shared" si="162"/>
        <v>99992.5315</v>
      </c>
      <c r="D556" s="28">
        <v>169240.553</v>
      </c>
      <c r="E556" s="28">
        <v>25000</v>
      </c>
      <c r="F556" s="28">
        <v>74657.165</v>
      </c>
      <c r="G556" s="28">
        <v>335.3665</v>
      </c>
      <c r="H556" s="28">
        <f t="shared" si="156"/>
        <v>0</v>
      </c>
      <c r="I556" s="28">
        <v>0</v>
      </c>
      <c r="J556" s="28">
        <v>0</v>
      </c>
      <c r="K556" s="28">
        <v>0</v>
      </c>
      <c r="L556" s="309"/>
      <c r="M556" s="348"/>
      <c r="N556" s="347"/>
      <c r="O556" s="347"/>
    </row>
    <row r="557" spans="1:15" ht="15" customHeight="1">
      <c r="A557" s="323" t="s">
        <v>47</v>
      </c>
      <c r="B557" s="323"/>
      <c r="C557" s="28">
        <f t="shared" si="162"/>
        <v>0</v>
      </c>
      <c r="D557" s="28">
        <v>0</v>
      </c>
      <c r="E557" s="28">
        <v>0</v>
      </c>
      <c r="F557" s="28">
        <v>0</v>
      </c>
      <c r="G557" s="28">
        <v>0</v>
      </c>
      <c r="H557" s="28">
        <f t="shared" si="156"/>
        <v>0</v>
      </c>
      <c r="I557" s="28">
        <v>0</v>
      </c>
      <c r="J557" s="28">
        <v>0</v>
      </c>
      <c r="K557" s="28">
        <v>0</v>
      </c>
      <c r="L557" s="309"/>
      <c r="M557" s="348"/>
      <c r="N557" s="347"/>
      <c r="O557" s="347"/>
    </row>
    <row r="558" spans="1:15" ht="15" customHeight="1">
      <c r="A558" s="323" t="s">
        <v>48</v>
      </c>
      <c r="B558" s="323"/>
      <c r="C558" s="28">
        <f t="shared" si="162"/>
        <v>0</v>
      </c>
      <c r="D558" s="28">
        <v>0</v>
      </c>
      <c r="E558" s="28">
        <v>0</v>
      </c>
      <c r="F558" s="28">
        <v>0</v>
      </c>
      <c r="G558" s="28">
        <v>0</v>
      </c>
      <c r="H558" s="28">
        <f t="shared" si="156"/>
        <v>0</v>
      </c>
      <c r="I558" s="28">
        <v>0</v>
      </c>
      <c r="J558" s="28">
        <v>0</v>
      </c>
      <c r="K558" s="28">
        <v>0</v>
      </c>
      <c r="L558" s="309"/>
      <c r="M558" s="348"/>
      <c r="N558" s="347"/>
      <c r="O558" s="347"/>
    </row>
    <row r="559" spans="1:15" ht="15" customHeight="1">
      <c r="A559" s="323" t="s">
        <v>49</v>
      </c>
      <c r="B559" s="323"/>
      <c r="C559" s="28">
        <f t="shared" si="162"/>
        <v>0</v>
      </c>
      <c r="D559" s="28">
        <v>0</v>
      </c>
      <c r="E559" s="28">
        <v>0</v>
      </c>
      <c r="F559" s="28">
        <v>0</v>
      </c>
      <c r="G559" s="28">
        <v>0</v>
      </c>
      <c r="H559" s="28">
        <f t="shared" si="156"/>
        <v>0</v>
      </c>
      <c r="I559" s="28">
        <v>0</v>
      </c>
      <c r="J559" s="28">
        <v>0</v>
      </c>
      <c r="K559" s="28">
        <v>0</v>
      </c>
      <c r="L559" s="310"/>
      <c r="M559" s="348"/>
      <c r="N559" s="347"/>
      <c r="O559" s="347"/>
    </row>
    <row r="560" spans="1:15" ht="94.5" customHeight="1">
      <c r="A560" s="329" t="s">
        <v>247</v>
      </c>
      <c r="B560" s="330"/>
      <c r="C560" s="330"/>
      <c r="D560" s="330"/>
      <c r="E560" s="330"/>
      <c r="F560" s="330"/>
      <c r="G560" s="331"/>
      <c r="H560" s="28"/>
      <c r="I560" s="28"/>
      <c r="J560" s="28"/>
      <c r="K560" s="28"/>
      <c r="L560" s="308" t="s">
        <v>218</v>
      </c>
      <c r="M560" s="348" t="s">
        <v>170</v>
      </c>
      <c r="N560" s="347"/>
      <c r="O560" s="347"/>
    </row>
    <row r="561" spans="1:42" s="10" customFormat="1" ht="20.25" customHeight="1">
      <c r="A561" s="323" t="s">
        <v>52</v>
      </c>
      <c r="B561" s="323"/>
      <c r="C561" s="28">
        <f aca="true" t="shared" si="163" ref="C561:C566">SUM(E561:G561)</f>
        <v>114427.60560000001</v>
      </c>
      <c r="D561" s="28">
        <f aca="true" t="shared" si="164" ref="D561:K561">D562+D563+D564+D565+D566</f>
        <v>14741.72</v>
      </c>
      <c r="E561" s="28">
        <f t="shared" si="164"/>
        <v>72500</v>
      </c>
      <c r="F561" s="28">
        <f t="shared" si="164"/>
        <v>40294.684</v>
      </c>
      <c r="G561" s="28">
        <f t="shared" si="164"/>
        <v>1632.9216</v>
      </c>
      <c r="H561" s="28">
        <f t="shared" si="156"/>
        <v>0</v>
      </c>
      <c r="I561" s="28">
        <f t="shared" si="164"/>
        <v>0</v>
      </c>
      <c r="J561" s="28">
        <f t="shared" si="164"/>
        <v>0</v>
      </c>
      <c r="K561" s="28">
        <f t="shared" si="164"/>
        <v>0</v>
      </c>
      <c r="L561" s="309"/>
      <c r="M561" s="348"/>
      <c r="N561" s="347"/>
      <c r="O561" s="347"/>
      <c r="P561" s="142"/>
      <c r="Q561" s="142"/>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row>
    <row r="562" spans="1:15" ht="15" customHeight="1">
      <c r="A562" s="323" t="s">
        <v>45</v>
      </c>
      <c r="B562" s="323"/>
      <c r="C562" s="28">
        <f t="shared" si="163"/>
        <v>0</v>
      </c>
      <c r="D562" s="28">
        <v>0</v>
      </c>
      <c r="E562" s="28">
        <v>0</v>
      </c>
      <c r="F562" s="28">
        <v>0</v>
      </c>
      <c r="G562" s="28">
        <v>0</v>
      </c>
      <c r="H562" s="28">
        <f t="shared" si="156"/>
        <v>0</v>
      </c>
      <c r="I562" s="28">
        <v>0</v>
      </c>
      <c r="J562" s="28">
        <v>0</v>
      </c>
      <c r="K562" s="28">
        <v>0</v>
      </c>
      <c r="L562" s="309"/>
      <c r="M562" s="348"/>
      <c r="N562" s="347"/>
      <c r="O562" s="347"/>
    </row>
    <row r="563" spans="1:15" ht="15" customHeight="1">
      <c r="A563" s="323" t="s">
        <v>46</v>
      </c>
      <c r="B563" s="323"/>
      <c r="C563" s="28">
        <f t="shared" si="163"/>
        <v>114427.60560000001</v>
      </c>
      <c r="D563" s="28">
        <v>14741.72</v>
      </c>
      <c r="E563" s="28">
        <v>72500</v>
      </c>
      <c r="F563" s="28">
        <v>40294.684</v>
      </c>
      <c r="G563" s="28">
        <v>1632.9216</v>
      </c>
      <c r="H563" s="28">
        <f t="shared" si="156"/>
        <v>0</v>
      </c>
      <c r="I563" s="28">
        <v>0</v>
      </c>
      <c r="J563" s="28">
        <v>0</v>
      </c>
      <c r="K563" s="28">
        <v>0</v>
      </c>
      <c r="L563" s="309"/>
      <c r="M563" s="348"/>
      <c r="N563" s="347"/>
      <c r="O563" s="347"/>
    </row>
    <row r="564" spans="1:15" ht="15" customHeight="1">
      <c r="A564" s="323" t="s">
        <v>47</v>
      </c>
      <c r="B564" s="323"/>
      <c r="C564" s="28">
        <f t="shared" si="163"/>
        <v>0</v>
      </c>
      <c r="D564" s="28">
        <v>0</v>
      </c>
      <c r="E564" s="28">
        <v>0</v>
      </c>
      <c r="F564" s="28">
        <v>0</v>
      </c>
      <c r="G564" s="28">
        <v>0</v>
      </c>
      <c r="H564" s="28">
        <f t="shared" si="156"/>
        <v>0</v>
      </c>
      <c r="I564" s="28">
        <v>0</v>
      </c>
      <c r="J564" s="28">
        <v>0</v>
      </c>
      <c r="K564" s="28">
        <v>0</v>
      </c>
      <c r="L564" s="309"/>
      <c r="M564" s="348"/>
      <c r="N564" s="347"/>
      <c r="O564" s="347"/>
    </row>
    <row r="565" spans="1:15" ht="15" customHeight="1">
      <c r="A565" s="323" t="s">
        <v>48</v>
      </c>
      <c r="B565" s="323"/>
      <c r="C565" s="28">
        <f t="shared" si="163"/>
        <v>0</v>
      </c>
      <c r="D565" s="28">
        <v>0</v>
      </c>
      <c r="E565" s="28">
        <v>0</v>
      </c>
      <c r="F565" s="28">
        <v>0</v>
      </c>
      <c r="G565" s="28">
        <v>0</v>
      </c>
      <c r="H565" s="28">
        <f t="shared" si="156"/>
        <v>0</v>
      </c>
      <c r="I565" s="28">
        <v>0</v>
      </c>
      <c r="J565" s="28">
        <v>0</v>
      </c>
      <c r="K565" s="28">
        <v>0</v>
      </c>
      <c r="L565" s="309"/>
      <c r="M565" s="348"/>
      <c r="N565" s="347"/>
      <c r="O565" s="347"/>
    </row>
    <row r="566" spans="1:15" ht="15" customHeight="1">
      <c r="A566" s="323" t="s">
        <v>49</v>
      </c>
      <c r="B566" s="323"/>
      <c r="C566" s="28">
        <f t="shared" si="163"/>
        <v>0</v>
      </c>
      <c r="D566" s="28">
        <v>0</v>
      </c>
      <c r="E566" s="28">
        <v>0</v>
      </c>
      <c r="F566" s="28">
        <v>0</v>
      </c>
      <c r="G566" s="28">
        <v>0</v>
      </c>
      <c r="H566" s="28">
        <f t="shared" si="156"/>
        <v>0</v>
      </c>
      <c r="I566" s="28">
        <v>0</v>
      </c>
      <c r="J566" s="28">
        <v>0</v>
      </c>
      <c r="K566" s="28">
        <v>0</v>
      </c>
      <c r="L566" s="310"/>
      <c r="M566" s="348"/>
      <c r="N566" s="347"/>
      <c r="O566" s="347"/>
    </row>
    <row r="567" spans="1:15" ht="96" customHeight="1">
      <c r="A567" s="390" t="s">
        <v>381</v>
      </c>
      <c r="B567" s="392"/>
      <c r="C567" s="28"/>
      <c r="D567" s="28"/>
      <c r="E567" s="28"/>
      <c r="F567" s="28"/>
      <c r="G567" s="28"/>
      <c r="H567" s="28"/>
      <c r="I567" s="28"/>
      <c r="J567" s="28"/>
      <c r="K567" s="28"/>
      <c r="L567" s="308" t="s">
        <v>260</v>
      </c>
      <c r="M567" s="308" t="s">
        <v>170</v>
      </c>
      <c r="N567" s="303"/>
      <c r="O567" s="303"/>
    </row>
    <row r="568" spans="1:15" ht="13.5" customHeight="1">
      <c r="A568" s="323" t="s">
        <v>52</v>
      </c>
      <c r="B568" s="323"/>
      <c r="C568" s="28">
        <f aca="true" t="shared" si="165" ref="C568:C573">SUM(E568:G568)</f>
        <v>114427.60560000001</v>
      </c>
      <c r="D568" s="28">
        <f aca="true" t="shared" si="166" ref="D568:K568">D569+D570+D571+D572+D573</f>
        <v>14741.72</v>
      </c>
      <c r="E568" s="28">
        <f t="shared" si="166"/>
        <v>72500</v>
      </c>
      <c r="F568" s="28">
        <f t="shared" si="166"/>
        <v>40294.684</v>
      </c>
      <c r="G568" s="28">
        <f t="shared" si="166"/>
        <v>1632.9216</v>
      </c>
      <c r="H568" s="28">
        <f t="shared" si="156"/>
        <v>69252</v>
      </c>
      <c r="I568" s="28">
        <f t="shared" si="166"/>
        <v>69252</v>
      </c>
      <c r="J568" s="28">
        <f t="shared" si="166"/>
        <v>0</v>
      </c>
      <c r="K568" s="28">
        <f t="shared" si="166"/>
        <v>0</v>
      </c>
      <c r="L568" s="309"/>
      <c r="M568" s="309"/>
      <c r="N568" s="304"/>
      <c r="O568" s="304"/>
    </row>
    <row r="569" spans="1:15" ht="13.5" customHeight="1">
      <c r="A569" s="323" t="s">
        <v>45</v>
      </c>
      <c r="B569" s="323"/>
      <c r="C569" s="28">
        <f t="shared" si="165"/>
        <v>0</v>
      </c>
      <c r="D569" s="28">
        <v>0</v>
      </c>
      <c r="E569" s="28">
        <v>0</v>
      </c>
      <c r="F569" s="28">
        <v>0</v>
      </c>
      <c r="G569" s="28">
        <v>0</v>
      </c>
      <c r="H569" s="28">
        <f t="shared" si="156"/>
        <v>0</v>
      </c>
      <c r="I569" s="28">
        <v>0</v>
      </c>
      <c r="J569" s="28">
        <v>0</v>
      </c>
      <c r="K569" s="28">
        <v>0</v>
      </c>
      <c r="L569" s="309"/>
      <c r="M569" s="309"/>
      <c r="N569" s="304"/>
      <c r="O569" s="304"/>
    </row>
    <row r="570" spans="1:15" ht="13.5" customHeight="1">
      <c r="A570" s="323" t="s">
        <v>46</v>
      </c>
      <c r="B570" s="323"/>
      <c r="C570" s="28">
        <f t="shared" si="165"/>
        <v>114427.60560000001</v>
      </c>
      <c r="D570" s="28">
        <v>14741.72</v>
      </c>
      <c r="E570" s="28">
        <v>72500</v>
      </c>
      <c r="F570" s="28">
        <v>40294.684</v>
      </c>
      <c r="G570" s="28">
        <v>1632.9216</v>
      </c>
      <c r="H570" s="28">
        <f t="shared" si="156"/>
        <v>69252</v>
      </c>
      <c r="I570" s="132">
        <v>69252</v>
      </c>
      <c r="J570" s="28">
        <v>0</v>
      </c>
      <c r="K570" s="28">
        <v>0</v>
      </c>
      <c r="L570" s="309"/>
      <c r="M570" s="309"/>
      <c r="N570" s="304"/>
      <c r="O570" s="304"/>
    </row>
    <row r="571" spans="1:15" ht="13.5" customHeight="1">
      <c r="A571" s="323" t="s">
        <v>47</v>
      </c>
      <c r="B571" s="323"/>
      <c r="C571" s="28">
        <f t="shared" si="165"/>
        <v>0</v>
      </c>
      <c r="D571" s="28">
        <v>0</v>
      </c>
      <c r="E571" s="28">
        <v>0</v>
      </c>
      <c r="F571" s="28">
        <v>0</v>
      </c>
      <c r="G571" s="28">
        <v>0</v>
      </c>
      <c r="H571" s="28">
        <f t="shared" si="156"/>
        <v>0</v>
      </c>
      <c r="I571" s="28">
        <v>0</v>
      </c>
      <c r="J571" s="28">
        <v>0</v>
      </c>
      <c r="K571" s="28">
        <v>0</v>
      </c>
      <c r="L571" s="309"/>
      <c r="M571" s="309"/>
      <c r="N571" s="304"/>
      <c r="O571" s="304"/>
    </row>
    <row r="572" spans="1:15" ht="13.5" customHeight="1">
      <c r="A572" s="323" t="s">
        <v>48</v>
      </c>
      <c r="B572" s="323"/>
      <c r="C572" s="28">
        <f t="shared" si="165"/>
        <v>0</v>
      </c>
      <c r="D572" s="28">
        <v>0</v>
      </c>
      <c r="E572" s="28">
        <v>0</v>
      </c>
      <c r="F572" s="28">
        <v>0</v>
      </c>
      <c r="G572" s="28">
        <v>0</v>
      </c>
      <c r="H572" s="28">
        <f t="shared" si="156"/>
        <v>0</v>
      </c>
      <c r="I572" s="28">
        <v>0</v>
      </c>
      <c r="J572" s="28">
        <v>0</v>
      </c>
      <c r="K572" s="28">
        <v>0</v>
      </c>
      <c r="L572" s="309"/>
      <c r="M572" s="309"/>
      <c r="N572" s="304"/>
      <c r="O572" s="304"/>
    </row>
    <row r="573" spans="1:15" ht="13.5" customHeight="1">
      <c r="A573" s="323" t="s">
        <v>49</v>
      </c>
      <c r="B573" s="323"/>
      <c r="C573" s="28">
        <f t="shared" si="165"/>
        <v>0</v>
      </c>
      <c r="D573" s="28">
        <v>0</v>
      </c>
      <c r="E573" s="28">
        <v>0</v>
      </c>
      <c r="F573" s="28">
        <v>0</v>
      </c>
      <c r="G573" s="28">
        <v>0</v>
      </c>
      <c r="H573" s="28">
        <f t="shared" si="156"/>
        <v>0</v>
      </c>
      <c r="I573" s="28">
        <v>0</v>
      </c>
      <c r="J573" s="28">
        <v>0</v>
      </c>
      <c r="K573" s="28">
        <v>0</v>
      </c>
      <c r="L573" s="309"/>
      <c r="M573" s="309"/>
      <c r="N573" s="304"/>
      <c r="O573" s="304"/>
    </row>
    <row r="574" spans="1:15" ht="39" customHeight="1">
      <c r="A574" s="329" t="s">
        <v>4</v>
      </c>
      <c r="B574" s="330"/>
      <c r="C574" s="330"/>
      <c r="D574" s="330"/>
      <c r="E574" s="330"/>
      <c r="F574" s="330"/>
      <c r="G574" s="331"/>
      <c r="H574" s="28"/>
      <c r="I574" s="28"/>
      <c r="J574" s="28"/>
      <c r="K574" s="28"/>
      <c r="L574" s="348" t="s">
        <v>206</v>
      </c>
      <c r="M574" s="348" t="s">
        <v>170</v>
      </c>
      <c r="N574" s="347"/>
      <c r="O574" s="347"/>
    </row>
    <row r="575" spans="1:15" ht="15" customHeight="1">
      <c r="A575" s="443" t="s">
        <v>52</v>
      </c>
      <c r="B575" s="444"/>
      <c r="C575" s="28">
        <f aca="true" t="shared" si="167" ref="C575:C580">SUM(E575:G575)</f>
        <v>41295.41721</v>
      </c>
      <c r="D575" s="28">
        <f aca="true" t="shared" si="168" ref="D575:K575">D576+D577+D578+D579+D580</f>
        <v>0</v>
      </c>
      <c r="E575" s="28">
        <f t="shared" si="168"/>
        <v>30000</v>
      </c>
      <c r="F575" s="28">
        <f t="shared" si="168"/>
        <v>8238.28997</v>
      </c>
      <c r="G575" s="28">
        <f t="shared" si="168"/>
        <v>3057.12724</v>
      </c>
      <c r="H575" s="28">
        <f t="shared" si="156"/>
        <v>0</v>
      </c>
      <c r="I575" s="28">
        <f t="shared" si="168"/>
        <v>0</v>
      </c>
      <c r="J575" s="28">
        <f t="shared" si="168"/>
        <v>0</v>
      </c>
      <c r="K575" s="28">
        <f t="shared" si="168"/>
        <v>0</v>
      </c>
      <c r="L575" s="348"/>
      <c r="M575" s="348"/>
      <c r="N575" s="347"/>
      <c r="O575" s="347"/>
    </row>
    <row r="576" spans="1:15" ht="15" customHeight="1">
      <c r="A576" s="443" t="s">
        <v>45</v>
      </c>
      <c r="B576" s="444"/>
      <c r="C576" s="28">
        <f t="shared" si="167"/>
        <v>0</v>
      </c>
      <c r="D576" s="28">
        <v>0</v>
      </c>
      <c r="E576" s="28">
        <v>0</v>
      </c>
      <c r="F576" s="28">
        <v>0</v>
      </c>
      <c r="G576" s="28">
        <v>0</v>
      </c>
      <c r="H576" s="28">
        <f t="shared" si="156"/>
        <v>0</v>
      </c>
      <c r="I576" s="28">
        <v>0</v>
      </c>
      <c r="J576" s="28">
        <v>0</v>
      </c>
      <c r="K576" s="28">
        <v>0</v>
      </c>
      <c r="L576" s="348"/>
      <c r="M576" s="348"/>
      <c r="N576" s="347"/>
      <c r="O576" s="347"/>
    </row>
    <row r="577" spans="1:15" ht="15" customHeight="1">
      <c r="A577" s="443" t="s">
        <v>46</v>
      </c>
      <c r="B577" s="444"/>
      <c r="C577" s="28">
        <f t="shared" si="167"/>
        <v>41295.41721</v>
      </c>
      <c r="D577" s="28">
        <v>0</v>
      </c>
      <c r="E577" s="28">
        <v>30000</v>
      </c>
      <c r="F577" s="28">
        <v>8238.28997</v>
      </c>
      <c r="G577" s="28">
        <v>3057.12724</v>
      </c>
      <c r="H577" s="28">
        <f t="shared" si="156"/>
        <v>0</v>
      </c>
      <c r="I577" s="28">
        <v>0</v>
      </c>
      <c r="J577" s="28">
        <v>0</v>
      </c>
      <c r="K577" s="28">
        <v>0</v>
      </c>
      <c r="L577" s="348"/>
      <c r="M577" s="348"/>
      <c r="N577" s="347"/>
      <c r="O577" s="347"/>
    </row>
    <row r="578" spans="1:15" ht="15" customHeight="1">
      <c r="A578" s="443" t="s">
        <v>47</v>
      </c>
      <c r="B578" s="444"/>
      <c r="C578" s="28">
        <f t="shared" si="167"/>
        <v>0</v>
      </c>
      <c r="D578" s="28">
        <v>0</v>
      </c>
      <c r="E578" s="28">
        <v>0</v>
      </c>
      <c r="F578" s="28">
        <v>0</v>
      </c>
      <c r="G578" s="28">
        <v>0</v>
      </c>
      <c r="H578" s="28">
        <f t="shared" si="156"/>
        <v>0</v>
      </c>
      <c r="I578" s="28">
        <v>0</v>
      </c>
      <c r="J578" s="28">
        <v>0</v>
      </c>
      <c r="K578" s="28">
        <v>0</v>
      </c>
      <c r="L578" s="348"/>
      <c r="M578" s="348"/>
      <c r="N578" s="347"/>
      <c r="O578" s="347"/>
    </row>
    <row r="579" spans="1:15" ht="15" customHeight="1">
      <c r="A579" s="443" t="s">
        <v>48</v>
      </c>
      <c r="B579" s="444"/>
      <c r="C579" s="28">
        <f t="shared" si="167"/>
        <v>0</v>
      </c>
      <c r="D579" s="28">
        <v>0</v>
      </c>
      <c r="E579" s="28">
        <v>0</v>
      </c>
      <c r="F579" s="28">
        <v>0</v>
      </c>
      <c r="G579" s="28">
        <v>0</v>
      </c>
      <c r="H579" s="28">
        <f t="shared" si="156"/>
        <v>0</v>
      </c>
      <c r="I579" s="28">
        <v>0</v>
      </c>
      <c r="J579" s="28">
        <v>0</v>
      </c>
      <c r="K579" s="28">
        <v>0</v>
      </c>
      <c r="L579" s="348"/>
      <c r="M579" s="348"/>
      <c r="N579" s="347"/>
      <c r="O579" s="347"/>
    </row>
    <row r="580" spans="1:15" ht="15" customHeight="1">
      <c r="A580" s="323" t="s">
        <v>49</v>
      </c>
      <c r="B580" s="323"/>
      <c r="C580" s="28">
        <f t="shared" si="167"/>
        <v>0</v>
      </c>
      <c r="D580" s="28">
        <v>0</v>
      </c>
      <c r="E580" s="28">
        <v>0</v>
      </c>
      <c r="F580" s="28">
        <v>0</v>
      </c>
      <c r="G580" s="28">
        <v>0</v>
      </c>
      <c r="H580" s="28">
        <f t="shared" si="156"/>
        <v>0</v>
      </c>
      <c r="I580" s="28">
        <v>0</v>
      </c>
      <c r="J580" s="28">
        <v>0</v>
      </c>
      <c r="K580" s="28">
        <v>0</v>
      </c>
      <c r="L580" s="348"/>
      <c r="M580" s="348"/>
      <c r="N580" s="347"/>
      <c r="O580" s="347"/>
    </row>
    <row r="581" spans="1:15" ht="63.75" customHeight="1">
      <c r="A581" s="329" t="s">
        <v>5</v>
      </c>
      <c r="B581" s="330"/>
      <c r="C581" s="330"/>
      <c r="D581" s="330"/>
      <c r="E581" s="330"/>
      <c r="F581" s="330"/>
      <c r="G581" s="331"/>
      <c r="H581" s="28"/>
      <c r="I581" s="28"/>
      <c r="J581" s="28"/>
      <c r="K581" s="28"/>
      <c r="L581" s="348" t="s">
        <v>218</v>
      </c>
      <c r="M581" s="348" t="s">
        <v>170</v>
      </c>
      <c r="N581" s="347"/>
      <c r="O581" s="347"/>
    </row>
    <row r="582" spans="1:15" ht="15" customHeight="1">
      <c r="A582" s="323" t="s">
        <v>52</v>
      </c>
      <c r="B582" s="323"/>
      <c r="C582" s="28">
        <f aca="true" t="shared" si="169" ref="C582:C587">SUM(E582:G582)</f>
        <v>38428</v>
      </c>
      <c r="D582" s="28">
        <f aca="true" t="shared" si="170" ref="D582:K582">D583+D584+D585+D586+D587</f>
        <v>116228.79</v>
      </c>
      <c r="E582" s="28">
        <f t="shared" si="170"/>
        <v>38428</v>
      </c>
      <c r="F582" s="28">
        <f t="shared" si="170"/>
        <v>0</v>
      </c>
      <c r="G582" s="28">
        <f t="shared" si="170"/>
        <v>0</v>
      </c>
      <c r="H582" s="28">
        <f t="shared" si="156"/>
        <v>0</v>
      </c>
      <c r="I582" s="28">
        <f t="shared" si="170"/>
        <v>0</v>
      </c>
      <c r="J582" s="28">
        <f t="shared" si="170"/>
        <v>0</v>
      </c>
      <c r="K582" s="28">
        <f t="shared" si="170"/>
        <v>0</v>
      </c>
      <c r="L582" s="348"/>
      <c r="M582" s="348"/>
      <c r="N582" s="347"/>
      <c r="O582" s="347"/>
    </row>
    <row r="583" spans="1:15" ht="15" customHeight="1">
      <c r="A583" s="323" t="s">
        <v>45</v>
      </c>
      <c r="B583" s="323"/>
      <c r="C583" s="28">
        <f t="shared" si="169"/>
        <v>0</v>
      </c>
      <c r="D583" s="28">
        <v>0</v>
      </c>
      <c r="E583" s="28">
        <v>0</v>
      </c>
      <c r="F583" s="28">
        <v>0</v>
      </c>
      <c r="G583" s="28">
        <v>0</v>
      </c>
      <c r="H583" s="28">
        <f t="shared" si="156"/>
        <v>0</v>
      </c>
      <c r="I583" s="28">
        <v>0</v>
      </c>
      <c r="J583" s="28">
        <v>0</v>
      </c>
      <c r="K583" s="28">
        <v>0</v>
      </c>
      <c r="L583" s="348"/>
      <c r="M583" s="348"/>
      <c r="N583" s="347"/>
      <c r="O583" s="347"/>
    </row>
    <row r="584" spans="1:15" ht="15" customHeight="1">
      <c r="A584" s="323" t="s">
        <v>46</v>
      </c>
      <c r="B584" s="323"/>
      <c r="C584" s="28">
        <f t="shared" si="169"/>
        <v>38428</v>
      </c>
      <c r="D584" s="28">
        <v>116228.79</v>
      </c>
      <c r="E584" s="28">
        <v>38428</v>
      </c>
      <c r="F584" s="28">
        <v>0</v>
      </c>
      <c r="G584" s="28">
        <v>0</v>
      </c>
      <c r="H584" s="28">
        <f t="shared" si="156"/>
        <v>0</v>
      </c>
      <c r="I584" s="28">
        <v>0</v>
      </c>
      <c r="J584" s="28">
        <v>0</v>
      </c>
      <c r="K584" s="28">
        <v>0</v>
      </c>
      <c r="L584" s="348"/>
      <c r="M584" s="348"/>
      <c r="N584" s="347"/>
      <c r="O584" s="347"/>
    </row>
    <row r="585" spans="1:15" ht="15" customHeight="1">
      <c r="A585" s="323" t="s">
        <v>47</v>
      </c>
      <c r="B585" s="323"/>
      <c r="C585" s="28">
        <f t="shared" si="169"/>
        <v>0</v>
      </c>
      <c r="D585" s="28">
        <v>0</v>
      </c>
      <c r="E585" s="28">
        <v>0</v>
      </c>
      <c r="F585" s="28">
        <v>0</v>
      </c>
      <c r="G585" s="28">
        <v>0</v>
      </c>
      <c r="H585" s="28">
        <f t="shared" si="156"/>
        <v>0</v>
      </c>
      <c r="I585" s="28">
        <v>0</v>
      </c>
      <c r="J585" s="28">
        <v>0</v>
      </c>
      <c r="K585" s="28">
        <v>0</v>
      </c>
      <c r="L585" s="348"/>
      <c r="M585" s="348"/>
      <c r="N585" s="347"/>
      <c r="O585" s="347"/>
    </row>
    <row r="586" spans="1:15" ht="15" customHeight="1">
      <c r="A586" s="323" t="s">
        <v>48</v>
      </c>
      <c r="B586" s="323"/>
      <c r="C586" s="28">
        <f t="shared" si="169"/>
        <v>0</v>
      </c>
      <c r="D586" s="28">
        <v>0</v>
      </c>
      <c r="E586" s="28">
        <v>0</v>
      </c>
      <c r="F586" s="28">
        <v>0</v>
      </c>
      <c r="G586" s="28">
        <v>0</v>
      </c>
      <c r="H586" s="28">
        <f t="shared" si="156"/>
        <v>0</v>
      </c>
      <c r="I586" s="28">
        <v>0</v>
      </c>
      <c r="J586" s="28">
        <v>0</v>
      </c>
      <c r="K586" s="28">
        <v>0</v>
      </c>
      <c r="L586" s="348"/>
      <c r="M586" s="348"/>
      <c r="N586" s="347"/>
      <c r="O586" s="347"/>
    </row>
    <row r="587" spans="1:15" ht="15" customHeight="1">
      <c r="A587" s="323" t="s">
        <v>49</v>
      </c>
      <c r="B587" s="323"/>
      <c r="C587" s="28">
        <f t="shared" si="169"/>
        <v>0</v>
      </c>
      <c r="D587" s="28">
        <v>0</v>
      </c>
      <c r="E587" s="28">
        <v>0</v>
      </c>
      <c r="F587" s="28">
        <v>0</v>
      </c>
      <c r="G587" s="28">
        <v>0</v>
      </c>
      <c r="H587" s="28">
        <f t="shared" si="156"/>
        <v>0</v>
      </c>
      <c r="I587" s="28">
        <v>0</v>
      </c>
      <c r="J587" s="28">
        <v>0</v>
      </c>
      <c r="K587" s="28">
        <v>0</v>
      </c>
      <c r="L587" s="348"/>
      <c r="M587" s="348"/>
      <c r="N587" s="347"/>
      <c r="O587" s="347"/>
    </row>
    <row r="588" spans="1:15" ht="57.75" customHeight="1">
      <c r="A588" s="329" t="s">
        <v>252</v>
      </c>
      <c r="B588" s="330"/>
      <c r="C588" s="330"/>
      <c r="D588" s="330"/>
      <c r="E588" s="330"/>
      <c r="F588" s="330"/>
      <c r="G588" s="331"/>
      <c r="H588" s="28"/>
      <c r="I588" s="28"/>
      <c r="J588" s="28"/>
      <c r="K588" s="28"/>
      <c r="L588" s="348" t="s">
        <v>206</v>
      </c>
      <c r="M588" s="348" t="s">
        <v>170</v>
      </c>
      <c r="N588" s="315"/>
      <c r="O588" s="315"/>
    </row>
    <row r="589" spans="1:15" ht="15" customHeight="1">
      <c r="A589" s="323" t="s">
        <v>52</v>
      </c>
      <c r="B589" s="323"/>
      <c r="C589" s="28">
        <f aca="true" t="shared" si="171" ref="C589:C594">SUM(E589:G589)</f>
        <v>466.12713</v>
      </c>
      <c r="D589" s="28">
        <v>0</v>
      </c>
      <c r="E589" s="28">
        <f aca="true" t="shared" si="172" ref="E589:K589">E590+E591+E592+E593+E594</f>
        <v>0</v>
      </c>
      <c r="F589" s="28">
        <f t="shared" si="172"/>
        <v>466.12713</v>
      </c>
      <c r="G589" s="28">
        <f t="shared" si="172"/>
        <v>0</v>
      </c>
      <c r="H589" s="28">
        <f t="shared" si="156"/>
        <v>18200</v>
      </c>
      <c r="I589" s="28">
        <f t="shared" si="172"/>
        <v>18200</v>
      </c>
      <c r="J589" s="28">
        <f t="shared" si="172"/>
        <v>0</v>
      </c>
      <c r="K589" s="28">
        <f t="shared" si="172"/>
        <v>0</v>
      </c>
      <c r="L589" s="348"/>
      <c r="M589" s="348"/>
      <c r="N589" s="315"/>
      <c r="O589" s="315"/>
    </row>
    <row r="590" spans="1:15" ht="15" customHeight="1">
      <c r="A590" s="323" t="s">
        <v>45</v>
      </c>
      <c r="B590" s="323"/>
      <c r="C590" s="28">
        <f t="shared" si="171"/>
        <v>0</v>
      </c>
      <c r="D590" s="28">
        <v>0</v>
      </c>
      <c r="E590" s="28">
        <v>0</v>
      </c>
      <c r="F590" s="28">
        <v>0</v>
      </c>
      <c r="G590" s="28">
        <v>0</v>
      </c>
      <c r="H590" s="28">
        <f t="shared" si="156"/>
        <v>0</v>
      </c>
      <c r="I590" s="28">
        <v>0</v>
      </c>
      <c r="J590" s="28">
        <v>0</v>
      </c>
      <c r="K590" s="28">
        <v>0</v>
      </c>
      <c r="L590" s="348"/>
      <c r="M590" s="348"/>
      <c r="N590" s="315"/>
      <c r="O590" s="315"/>
    </row>
    <row r="591" spans="1:15" ht="15" customHeight="1">
      <c r="A591" s="323" t="s">
        <v>46</v>
      </c>
      <c r="B591" s="323"/>
      <c r="C591" s="28">
        <f t="shared" si="171"/>
        <v>466.12713</v>
      </c>
      <c r="D591" s="28">
        <v>0</v>
      </c>
      <c r="E591" s="28">
        <v>0</v>
      </c>
      <c r="F591" s="28">
        <v>466.12713</v>
      </c>
      <c r="G591" s="28">
        <v>0</v>
      </c>
      <c r="H591" s="28">
        <f aca="true" t="shared" si="173" ref="H591:H654">I591+J591+K591</f>
        <v>18200</v>
      </c>
      <c r="I591" s="28">
        <v>18200</v>
      </c>
      <c r="J591" s="28">
        <v>0</v>
      </c>
      <c r="K591" s="28">
        <v>0</v>
      </c>
      <c r="L591" s="348"/>
      <c r="M591" s="348"/>
      <c r="N591" s="315"/>
      <c r="O591" s="315"/>
    </row>
    <row r="592" spans="1:15" ht="15" customHeight="1">
      <c r="A592" s="323" t="s">
        <v>47</v>
      </c>
      <c r="B592" s="323"/>
      <c r="C592" s="28">
        <f t="shared" si="171"/>
        <v>0</v>
      </c>
      <c r="D592" s="28">
        <v>0</v>
      </c>
      <c r="E592" s="28">
        <v>0</v>
      </c>
      <c r="F592" s="28">
        <v>0</v>
      </c>
      <c r="G592" s="28">
        <v>0</v>
      </c>
      <c r="H592" s="28">
        <f t="shared" si="173"/>
        <v>0</v>
      </c>
      <c r="I592" s="28">
        <v>0</v>
      </c>
      <c r="J592" s="28">
        <v>0</v>
      </c>
      <c r="K592" s="28">
        <v>0</v>
      </c>
      <c r="L592" s="348"/>
      <c r="M592" s="348"/>
      <c r="N592" s="315"/>
      <c r="O592" s="315"/>
    </row>
    <row r="593" spans="1:15" ht="15" customHeight="1">
      <c r="A593" s="323" t="s">
        <v>48</v>
      </c>
      <c r="B593" s="323"/>
      <c r="C593" s="28">
        <f t="shared" si="171"/>
        <v>0</v>
      </c>
      <c r="D593" s="28">
        <v>0</v>
      </c>
      <c r="E593" s="28">
        <v>0</v>
      </c>
      <c r="F593" s="28">
        <v>0</v>
      </c>
      <c r="G593" s="28">
        <v>0</v>
      </c>
      <c r="H593" s="28">
        <f t="shared" si="173"/>
        <v>0</v>
      </c>
      <c r="I593" s="28">
        <v>0</v>
      </c>
      <c r="J593" s="28">
        <v>0</v>
      </c>
      <c r="K593" s="28">
        <v>0</v>
      </c>
      <c r="L593" s="348"/>
      <c r="M593" s="348"/>
      <c r="N593" s="315"/>
      <c r="O593" s="315"/>
    </row>
    <row r="594" spans="1:15" ht="15" customHeight="1">
      <c r="A594" s="323" t="s">
        <v>49</v>
      </c>
      <c r="B594" s="323"/>
      <c r="C594" s="28">
        <f t="shared" si="171"/>
        <v>0</v>
      </c>
      <c r="D594" s="28">
        <v>0</v>
      </c>
      <c r="E594" s="28">
        <v>0</v>
      </c>
      <c r="F594" s="28">
        <v>0</v>
      </c>
      <c r="G594" s="28">
        <v>0</v>
      </c>
      <c r="H594" s="28">
        <f t="shared" si="173"/>
        <v>0</v>
      </c>
      <c r="I594" s="28">
        <v>0</v>
      </c>
      <c r="J594" s="28">
        <v>0</v>
      </c>
      <c r="K594" s="28">
        <v>0</v>
      </c>
      <c r="L594" s="348"/>
      <c r="M594" s="348"/>
      <c r="N594" s="315"/>
      <c r="O594" s="315"/>
    </row>
    <row r="595" spans="1:42" s="2" customFormat="1" ht="45" customHeight="1">
      <c r="A595" s="390" t="s">
        <v>196</v>
      </c>
      <c r="B595" s="391"/>
      <c r="C595" s="391"/>
      <c r="D595" s="391"/>
      <c r="E595" s="391"/>
      <c r="F595" s="391"/>
      <c r="G595" s="392"/>
      <c r="H595" s="28"/>
      <c r="I595" s="28"/>
      <c r="J595" s="28"/>
      <c r="K595" s="28"/>
      <c r="L595" s="348" t="s">
        <v>206</v>
      </c>
      <c r="M595" s="348" t="s">
        <v>170</v>
      </c>
      <c r="N595" s="347"/>
      <c r="O595" s="347"/>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row>
    <row r="596" spans="1:42" s="2" customFormat="1" ht="15" customHeight="1">
      <c r="A596" s="323" t="s">
        <v>52</v>
      </c>
      <c r="B596" s="323"/>
      <c r="C596" s="28">
        <f aca="true" t="shared" si="174" ref="C596:C601">SUM(E596:G596)</f>
        <v>21471.036</v>
      </c>
      <c r="D596" s="28">
        <f aca="true" t="shared" si="175" ref="D596:K596">D597+D598+D599+D600+D601</f>
        <v>396</v>
      </c>
      <c r="E596" s="28">
        <f t="shared" si="175"/>
        <v>44.04</v>
      </c>
      <c r="F596" s="28">
        <f t="shared" si="175"/>
        <v>980</v>
      </c>
      <c r="G596" s="28">
        <f t="shared" si="175"/>
        <v>20446.996</v>
      </c>
      <c r="H596" s="28">
        <f t="shared" si="173"/>
        <v>0</v>
      </c>
      <c r="I596" s="28">
        <f t="shared" si="175"/>
        <v>0</v>
      </c>
      <c r="J596" s="28">
        <f t="shared" si="175"/>
        <v>0</v>
      </c>
      <c r="K596" s="28">
        <f t="shared" si="175"/>
        <v>0</v>
      </c>
      <c r="L596" s="348"/>
      <c r="M596" s="348"/>
      <c r="N596" s="347"/>
      <c r="O596" s="347"/>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row>
    <row r="597" spans="1:42" s="2" customFormat="1" ht="15" customHeight="1">
      <c r="A597" s="323" t="s">
        <v>45</v>
      </c>
      <c r="B597" s="323"/>
      <c r="C597" s="28">
        <f t="shared" si="174"/>
        <v>0</v>
      </c>
      <c r="D597" s="28">
        <v>0</v>
      </c>
      <c r="E597" s="28">
        <v>0</v>
      </c>
      <c r="F597" s="28">
        <v>0</v>
      </c>
      <c r="G597" s="28">
        <v>0</v>
      </c>
      <c r="H597" s="28">
        <f t="shared" si="173"/>
        <v>0</v>
      </c>
      <c r="I597" s="28">
        <v>0</v>
      </c>
      <c r="J597" s="28">
        <v>0</v>
      </c>
      <c r="K597" s="28">
        <v>0</v>
      </c>
      <c r="L597" s="348"/>
      <c r="M597" s="348"/>
      <c r="N597" s="347"/>
      <c r="O597" s="347"/>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row>
    <row r="598" spans="1:42" s="2" customFormat="1" ht="15" customHeight="1">
      <c r="A598" s="323" t="s">
        <v>46</v>
      </c>
      <c r="B598" s="323"/>
      <c r="C598" s="28">
        <f t="shared" si="174"/>
        <v>21471.036</v>
      </c>
      <c r="D598" s="28">
        <v>396</v>
      </c>
      <c r="E598" s="28">
        <v>44.04</v>
      </c>
      <c r="F598" s="28">
        <v>980</v>
      </c>
      <c r="G598" s="28">
        <v>20446.996</v>
      </c>
      <c r="H598" s="28">
        <f t="shared" si="173"/>
        <v>0</v>
      </c>
      <c r="I598" s="28">
        <v>0</v>
      </c>
      <c r="J598" s="28">
        <v>0</v>
      </c>
      <c r="K598" s="28">
        <v>0</v>
      </c>
      <c r="L598" s="348"/>
      <c r="M598" s="348"/>
      <c r="N598" s="347"/>
      <c r="O598" s="347"/>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row>
    <row r="599" spans="1:42" s="2" customFormat="1" ht="15" customHeight="1">
      <c r="A599" s="323" t="s">
        <v>47</v>
      </c>
      <c r="B599" s="323"/>
      <c r="C599" s="28">
        <f t="shared" si="174"/>
        <v>0</v>
      </c>
      <c r="D599" s="28">
        <v>0</v>
      </c>
      <c r="E599" s="28">
        <v>0</v>
      </c>
      <c r="F599" s="28">
        <v>0</v>
      </c>
      <c r="G599" s="28">
        <v>0</v>
      </c>
      <c r="H599" s="28">
        <f t="shared" si="173"/>
        <v>0</v>
      </c>
      <c r="I599" s="28">
        <v>0</v>
      </c>
      <c r="J599" s="28">
        <v>0</v>
      </c>
      <c r="K599" s="28">
        <v>0</v>
      </c>
      <c r="L599" s="348"/>
      <c r="M599" s="348"/>
      <c r="N599" s="347"/>
      <c r="O599" s="347"/>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row>
    <row r="600" spans="1:42" s="2" customFormat="1" ht="15" customHeight="1">
      <c r="A600" s="323" t="s">
        <v>48</v>
      </c>
      <c r="B600" s="323"/>
      <c r="C600" s="28">
        <f t="shared" si="174"/>
        <v>0</v>
      </c>
      <c r="D600" s="28">
        <v>0</v>
      </c>
      <c r="E600" s="28">
        <v>0</v>
      </c>
      <c r="F600" s="28">
        <v>0</v>
      </c>
      <c r="G600" s="28">
        <v>0</v>
      </c>
      <c r="H600" s="28">
        <f t="shared" si="173"/>
        <v>0</v>
      </c>
      <c r="I600" s="28">
        <v>0</v>
      </c>
      <c r="J600" s="28">
        <v>0</v>
      </c>
      <c r="K600" s="28">
        <v>0</v>
      </c>
      <c r="L600" s="348"/>
      <c r="M600" s="348"/>
      <c r="N600" s="347"/>
      <c r="O600" s="347"/>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row>
    <row r="601" spans="1:42" s="2" customFormat="1" ht="15" customHeight="1">
      <c r="A601" s="323" t="s">
        <v>49</v>
      </c>
      <c r="B601" s="323"/>
      <c r="C601" s="28">
        <f t="shared" si="174"/>
        <v>0</v>
      </c>
      <c r="D601" s="28">
        <v>0</v>
      </c>
      <c r="E601" s="28">
        <v>0</v>
      </c>
      <c r="F601" s="28">
        <v>0</v>
      </c>
      <c r="G601" s="28">
        <v>0</v>
      </c>
      <c r="H601" s="28">
        <f t="shared" si="173"/>
        <v>0</v>
      </c>
      <c r="I601" s="28">
        <v>0</v>
      </c>
      <c r="J601" s="28">
        <v>0</v>
      </c>
      <c r="K601" s="28">
        <v>0</v>
      </c>
      <c r="L601" s="348"/>
      <c r="M601" s="348"/>
      <c r="N601" s="347"/>
      <c r="O601" s="347"/>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row>
    <row r="602" spans="1:42" s="2" customFormat="1" ht="48.75" customHeight="1">
      <c r="A602" s="329" t="s">
        <v>197</v>
      </c>
      <c r="B602" s="330"/>
      <c r="C602" s="330"/>
      <c r="D602" s="330"/>
      <c r="E602" s="330"/>
      <c r="F602" s="330"/>
      <c r="G602" s="331"/>
      <c r="H602" s="28"/>
      <c r="I602" s="28"/>
      <c r="J602" s="28"/>
      <c r="K602" s="28"/>
      <c r="L602" s="348" t="s">
        <v>218</v>
      </c>
      <c r="M602" s="348" t="s">
        <v>170</v>
      </c>
      <c r="N602" s="315"/>
      <c r="O602" s="315"/>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row>
    <row r="603" spans="1:42" s="2" customFormat="1" ht="15" customHeight="1">
      <c r="A603" s="323" t="s">
        <v>52</v>
      </c>
      <c r="B603" s="323"/>
      <c r="C603" s="28">
        <f aca="true" t="shared" si="176" ref="C603:C608">SUM(E603:G603)</f>
        <v>0</v>
      </c>
      <c r="D603" s="28">
        <f aca="true" t="shared" si="177" ref="D603:K603">D604+D605+D606+D607+D608</f>
        <v>2000</v>
      </c>
      <c r="E603" s="28">
        <f t="shared" si="177"/>
        <v>0</v>
      </c>
      <c r="F603" s="28">
        <f t="shared" si="177"/>
        <v>0</v>
      </c>
      <c r="G603" s="28">
        <f t="shared" si="177"/>
        <v>0</v>
      </c>
      <c r="H603" s="28">
        <f t="shared" si="173"/>
        <v>0</v>
      </c>
      <c r="I603" s="28">
        <f t="shared" si="177"/>
        <v>0</v>
      </c>
      <c r="J603" s="28">
        <f t="shared" si="177"/>
        <v>0</v>
      </c>
      <c r="K603" s="28">
        <f t="shared" si="177"/>
        <v>0</v>
      </c>
      <c r="L603" s="348"/>
      <c r="M603" s="348"/>
      <c r="N603" s="315"/>
      <c r="O603" s="315"/>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row>
    <row r="604" spans="1:42" s="2" customFormat="1" ht="15" customHeight="1">
      <c r="A604" s="323" t="s">
        <v>45</v>
      </c>
      <c r="B604" s="323"/>
      <c r="C604" s="28">
        <f t="shared" si="176"/>
        <v>0</v>
      </c>
      <c r="D604" s="28">
        <v>0</v>
      </c>
      <c r="E604" s="28">
        <v>0</v>
      </c>
      <c r="F604" s="28">
        <v>0</v>
      </c>
      <c r="G604" s="28">
        <v>0</v>
      </c>
      <c r="H604" s="28">
        <f t="shared" si="173"/>
        <v>0</v>
      </c>
      <c r="I604" s="28">
        <v>0</v>
      </c>
      <c r="J604" s="28">
        <v>0</v>
      </c>
      <c r="K604" s="28">
        <v>0</v>
      </c>
      <c r="L604" s="348"/>
      <c r="M604" s="348"/>
      <c r="N604" s="315"/>
      <c r="O604" s="315"/>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row>
    <row r="605" spans="1:42" s="2" customFormat="1" ht="15" customHeight="1">
      <c r="A605" s="323" t="s">
        <v>46</v>
      </c>
      <c r="B605" s="323"/>
      <c r="C605" s="28">
        <f t="shared" si="176"/>
        <v>0</v>
      </c>
      <c r="D605" s="28">
        <v>2000</v>
      </c>
      <c r="E605" s="28">
        <v>0</v>
      </c>
      <c r="F605" s="28">
        <v>0</v>
      </c>
      <c r="G605" s="28">
        <v>0</v>
      </c>
      <c r="H605" s="28">
        <f t="shared" si="173"/>
        <v>0</v>
      </c>
      <c r="I605" s="28">
        <v>0</v>
      </c>
      <c r="J605" s="28">
        <v>0</v>
      </c>
      <c r="K605" s="28">
        <v>0</v>
      </c>
      <c r="L605" s="348"/>
      <c r="M605" s="348"/>
      <c r="N605" s="315"/>
      <c r="O605" s="315"/>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row>
    <row r="606" spans="1:42" s="2" customFormat="1" ht="15" customHeight="1">
      <c r="A606" s="323" t="s">
        <v>47</v>
      </c>
      <c r="B606" s="323"/>
      <c r="C606" s="28">
        <f t="shared" si="176"/>
        <v>0</v>
      </c>
      <c r="D606" s="28">
        <v>0</v>
      </c>
      <c r="E606" s="28">
        <v>0</v>
      </c>
      <c r="F606" s="28">
        <v>0</v>
      </c>
      <c r="G606" s="28">
        <v>0</v>
      </c>
      <c r="H606" s="28">
        <f t="shared" si="173"/>
        <v>0</v>
      </c>
      <c r="I606" s="28">
        <v>0</v>
      </c>
      <c r="J606" s="28">
        <v>0</v>
      </c>
      <c r="K606" s="28">
        <v>0</v>
      </c>
      <c r="L606" s="348"/>
      <c r="M606" s="348"/>
      <c r="N606" s="315"/>
      <c r="O606" s="315"/>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row>
    <row r="607" spans="1:42" s="2" customFormat="1" ht="15" customHeight="1">
      <c r="A607" s="323" t="s">
        <v>48</v>
      </c>
      <c r="B607" s="323"/>
      <c r="C607" s="28">
        <f t="shared" si="176"/>
        <v>0</v>
      </c>
      <c r="D607" s="28">
        <v>0</v>
      </c>
      <c r="E607" s="28">
        <v>0</v>
      </c>
      <c r="F607" s="28">
        <v>0</v>
      </c>
      <c r="G607" s="28">
        <v>0</v>
      </c>
      <c r="H607" s="28">
        <f t="shared" si="173"/>
        <v>0</v>
      </c>
      <c r="I607" s="28">
        <v>0</v>
      </c>
      <c r="J607" s="28">
        <v>0</v>
      </c>
      <c r="K607" s="28">
        <v>0</v>
      </c>
      <c r="L607" s="348"/>
      <c r="M607" s="348"/>
      <c r="N607" s="315"/>
      <c r="O607" s="315"/>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row>
    <row r="608" spans="1:42" s="2" customFormat="1" ht="15" customHeight="1">
      <c r="A608" s="323" t="s">
        <v>49</v>
      </c>
      <c r="B608" s="323"/>
      <c r="C608" s="28">
        <f t="shared" si="176"/>
        <v>0</v>
      </c>
      <c r="D608" s="28">
        <v>0</v>
      </c>
      <c r="E608" s="28">
        <v>0</v>
      </c>
      <c r="F608" s="28">
        <v>0</v>
      </c>
      <c r="G608" s="28">
        <v>0</v>
      </c>
      <c r="H608" s="28">
        <f t="shared" si="173"/>
        <v>0</v>
      </c>
      <c r="I608" s="28">
        <v>0</v>
      </c>
      <c r="J608" s="28">
        <v>0</v>
      </c>
      <c r="K608" s="28">
        <v>0</v>
      </c>
      <c r="L608" s="348"/>
      <c r="M608" s="348"/>
      <c r="N608" s="315"/>
      <c r="O608" s="315"/>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row>
    <row r="609" spans="1:42" s="2" customFormat="1" ht="26.25" customHeight="1">
      <c r="A609" s="329" t="s">
        <v>17</v>
      </c>
      <c r="B609" s="330"/>
      <c r="C609" s="330"/>
      <c r="D609" s="330"/>
      <c r="E609" s="330"/>
      <c r="F609" s="330"/>
      <c r="G609" s="331"/>
      <c r="H609" s="28"/>
      <c r="I609" s="28"/>
      <c r="J609" s="28"/>
      <c r="K609" s="28"/>
      <c r="L609" s="348" t="s">
        <v>218</v>
      </c>
      <c r="M609" s="348" t="s">
        <v>170</v>
      </c>
      <c r="N609" s="315"/>
      <c r="O609" s="315"/>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row>
    <row r="610" spans="1:42" s="2" customFormat="1" ht="15" customHeight="1">
      <c r="A610" s="323" t="s">
        <v>52</v>
      </c>
      <c r="B610" s="323"/>
      <c r="C610" s="28">
        <f aca="true" t="shared" si="178" ref="C610:C615">SUM(E610:G610)</f>
        <v>100</v>
      </c>
      <c r="D610" s="28">
        <f>SUM(D611:D615)</f>
        <v>0</v>
      </c>
      <c r="E610" s="28">
        <f>SUM(E611:E615)</f>
        <v>0</v>
      </c>
      <c r="F610" s="28">
        <f>SUM(F611:F615)</f>
        <v>100</v>
      </c>
      <c r="G610" s="28">
        <f>SUM(G611:G615)</f>
        <v>0</v>
      </c>
      <c r="H610" s="28">
        <f t="shared" si="173"/>
        <v>0</v>
      </c>
      <c r="I610" s="28">
        <f>I611+I612+I613+I614+I615</f>
        <v>0</v>
      </c>
      <c r="J610" s="28">
        <f>J611+J612+J613+J614+J615</f>
        <v>0</v>
      </c>
      <c r="K610" s="28">
        <f>K611+K612+K613+K614+K615</f>
        <v>0</v>
      </c>
      <c r="L610" s="348"/>
      <c r="M610" s="348"/>
      <c r="N610" s="315"/>
      <c r="O610" s="315"/>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row>
    <row r="611" spans="1:42" s="2" customFormat="1" ht="15" customHeight="1">
      <c r="A611" s="323" t="s">
        <v>45</v>
      </c>
      <c r="B611" s="323"/>
      <c r="C611" s="28">
        <f t="shared" si="178"/>
        <v>0</v>
      </c>
      <c r="D611" s="28">
        <v>0</v>
      </c>
      <c r="E611" s="28">
        <v>0</v>
      </c>
      <c r="F611" s="28">
        <v>0</v>
      </c>
      <c r="G611" s="28">
        <v>0</v>
      </c>
      <c r="H611" s="28">
        <f t="shared" si="173"/>
        <v>0</v>
      </c>
      <c r="I611" s="28">
        <v>0</v>
      </c>
      <c r="J611" s="28">
        <v>0</v>
      </c>
      <c r="K611" s="28">
        <v>0</v>
      </c>
      <c r="L611" s="348"/>
      <c r="M611" s="348"/>
      <c r="N611" s="315"/>
      <c r="O611" s="315"/>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row>
    <row r="612" spans="1:42" s="2" customFormat="1" ht="15" customHeight="1">
      <c r="A612" s="323" t="s">
        <v>46</v>
      </c>
      <c r="B612" s="323"/>
      <c r="C612" s="28">
        <f t="shared" si="178"/>
        <v>100</v>
      </c>
      <c r="D612" s="28">
        <v>0</v>
      </c>
      <c r="E612" s="28">
        <v>0</v>
      </c>
      <c r="F612" s="28">
        <v>100</v>
      </c>
      <c r="G612" s="28">
        <v>0</v>
      </c>
      <c r="H612" s="28">
        <f t="shared" si="173"/>
        <v>0</v>
      </c>
      <c r="I612" s="28">
        <v>0</v>
      </c>
      <c r="J612" s="28">
        <v>0</v>
      </c>
      <c r="K612" s="28">
        <v>0</v>
      </c>
      <c r="L612" s="348"/>
      <c r="M612" s="348"/>
      <c r="N612" s="315"/>
      <c r="O612" s="315"/>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row>
    <row r="613" spans="1:42" s="2" customFormat="1" ht="15" customHeight="1">
      <c r="A613" s="323" t="s">
        <v>47</v>
      </c>
      <c r="B613" s="323"/>
      <c r="C613" s="28">
        <f t="shared" si="178"/>
        <v>0</v>
      </c>
      <c r="D613" s="28">
        <v>0</v>
      </c>
      <c r="E613" s="28">
        <v>0</v>
      </c>
      <c r="F613" s="28">
        <v>0</v>
      </c>
      <c r="G613" s="28">
        <v>0</v>
      </c>
      <c r="H613" s="28">
        <f t="shared" si="173"/>
        <v>0</v>
      </c>
      <c r="I613" s="28">
        <v>0</v>
      </c>
      <c r="J613" s="28">
        <v>0</v>
      </c>
      <c r="K613" s="28">
        <v>0</v>
      </c>
      <c r="L613" s="348"/>
      <c r="M613" s="348"/>
      <c r="N613" s="315"/>
      <c r="O613" s="315"/>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row>
    <row r="614" spans="1:42" s="2" customFormat="1" ht="15" customHeight="1">
      <c r="A614" s="323" t="s">
        <v>48</v>
      </c>
      <c r="B614" s="323"/>
      <c r="C614" s="28">
        <f t="shared" si="178"/>
        <v>0</v>
      </c>
      <c r="D614" s="28">
        <v>0</v>
      </c>
      <c r="E614" s="28">
        <v>0</v>
      </c>
      <c r="F614" s="28">
        <v>0</v>
      </c>
      <c r="G614" s="28">
        <v>0</v>
      </c>
      <c r="H614" s="28">
        <f t="shared" si="173"/>
        <v>0</v>
      </c>
      <c r="I614" s="28">
        <v>0</v>
      </c>
      <c r="J614" s="28">
        <v>0</v>
      </c>
      <c r="K614" s="28">
        <v>0</v>
      </c>
      <c r="L614" s="348"/>
      <c r="M614" s="348"/>
      <c r="N614" s="315"/>
      <c r="O614" s="315"/>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row>
    <row r="615" spans="1:42" s="2" customFormat="1" ht="15" customHeight="1">
      <c r="A615" s="323" t="s">
        <v>49</v>
      </c>
      <c r="B615" s="323"/>
      <c r="C615" s="28">
        <f t="shared" si="178"/>
        <v>0</v>
      </c>
      <c r="D615" s="28">
        <v>0</v>
      </c>
      <c r="E615" s="28">
        <v>0</v>
      </c>
      <c r="F615" s="28">
        <v>0</v>
      </c>
      <c r="G615" s="28">
        <v>0</v>
      </c>
      <c r="H615" s="28">
        <f t="shared" si="173"/>
        <v>0</v>
      </c>
      <c r="I615" s="28">
        <v>0</v>
      </c>
      <c r="J615" s="28">
        <v>0</v>
      </c>
      <c r="K615" s="28">
        <v>0</v>
      </c>
      <c r="L615" s="348"/>
      <c r="M615" s="348"/>
      <c r="N615" s="315"/>
      <c r="O615" s="315"/>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row>
    <row r="616" spans="1:42" s="2" customFormat="1" ht="39" customHeight="1">
      <c r="A616" s="329" t="s">
        <v>22</v>
      </c>
      <c r="B616" s="330"/>
      <c r="C616" s="330"/>
      <c r="D616" s="330"/>
      <c r="E616" s="330"/>
      <c r="F616" s="330"/>
      <c r="G616" s="331"/>
      <c r="H616" s="28"/>
      <c r="I616" s="28"/>
      <c r="J616" s="28"/>
      <c r="K616" s="28"/>
      <c r="L616" s="386" t="s">
        <v>218</v>
      </c>
      <c r="M616" s="348" t="s">
        <v>170</v>
      </c>
      <c r="N616" s="379"/>
      <c r="O616" s="379"/>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row>
    <row r="617" spans="1:42" s="2" customFormat="1" ht="15" customHeight="1">
      <c r="A617" s="323" t="s">
        <v>52</v>
      </c>
      <c r="B617" s="323"/>
      <c r="C617" s="28">
        <f aca="true" t="shared" si="179" ref="C617:C622">SUM(E617:G617)</f>
        <v>81163.163</v>
      </c>
      <c r="D617" s="28">
        <f aca="true" t="shared" si="180" ref="D617:K617">D618+D619+D620+D621+D622</f>
        <v>0</v>
      </c>
      <c r="E617" s="28">
        <f t="shared" si="180"/>
        <v>23751</v>
      </c>
      <c r="F617" s="28">
        <f t="shared" si="180"/>
        <v>30400</v>
      </c>
      <c r="G617" s="28">
        <f t="shared" si="180"/>
        <v>27012.163</v>
      </c>
      <c r="H617" s="28">
        <f t="shared" si="173"/>
        <v>0</v>
      </c>
      <c r="I617" s="28">
        <f t="shared" si="180"/>
        <v>0</v>
      </c>
      <c r="J617" s="28">
        <f t="shared" si="180"/>
        <v>0</v>
      </c>
      <c r="K617" s="28">
        <f t="shared" si="180"/>
        <v>0</v>
      </c>
      <c r="L617" s="386"/>
      <c r="M617" s="348"/>
      <c r="N617" s="379"/>
      <c r="O617" s="379"/>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row>
    <row r="618" spans="1:15" ht="15" customHeight="1">
      <c r="A618" s="323" t="s">
        <v>45</v>
      </c>
      <c r="B618" s="323"/>
      <c r="C618" s="28">
        <f t="shared" si="179"/>
        <v>8421</v>
      </c>
      <c r="D618" s="28">
        <v>0</v>
      </c>
      <c r="E618" s="28">
        <v>8421</v>
      </c>
      <c r="F618" s="28">
        <v>0</v>
      </c>
      <c r="G618" s="28">
        <v>0</v>
      </c>
      <c r="H618" s="28">
        <f t="shared" si="173"/>
        <v>0</v>
      </c>
      <c r="I618" s="28">
        <v>0</v>
      </c>
      <c r="J618" s="28">
        <v>0</v>
      </c>
      <c r="K618" s="28">
        <v>0</v>
      </c>
      <c r="L618" s="386"/>
      <c r="M618" s="348"/>
      <c r="N618" s="379"/>
      <c r="O618" s="379"/>
    </row>
    <row r="619" spans="1:15" ht="15" customHeight="1">
      <c r="A619" s="323" t="s">
        <v>46</v>
      </c>
      <c r="B619" s="323"/>
      <c r="C619" s="28">
        <f t="shared" si="179"/>
        <v>72742.163</v>
      </c>
      <c r="D619" s="28">
        <v>0</v>
      </c>
      <c r="E619" s="28">
        <v>15330</v>
      </c>
      <c r="F619" s="28">
        <v>30400</v>
      </c>
      <c r="G619" s="28">
        <v>27012.163</v>
      </c>
      <c r="H619" s="28">
        <f t="shared" si="173"/>
        <v>0</v>
      </c>
      <c r="I619" s="28">
        <v>0</v>
      </c>
      <c r="J619" s="28">
        <v>0</v>
      </c>
      <c r="K619" s="28">
        <v>0</v>
      </c>
      <c r="L619" s="386"/>
      <c r="M619" s="348"/>
      <c r="N619" s="379"/>
      <c r="O619" s="379"/>
    </row>
    <row r="620" spans="1:15" ht="15" customHeight="1">
      <c r="A620" s="323" t="s">
        <v>47</v>
      </c>
      <c r="B620" s="323"/>
      <c r="C620" s="28">
        <f t="shared" si="179"/>
        <v>0</v>
      </c>
      <c r="D620" s="28">
        <v>0</v>
      </c>
      <c r="E620" s="28">
        <v>0</v>
      </c>
      <c r="F620" s="28">
        <v>0</v>
      </c>
      <c r="G620" s="28">
        <v>0</v>
      </c>
      <c r="H620" s="28">
        <f t="shared" si="173"/>
        <v>0</v>
      </c>
      <c r="I620" s="28">
        <v>0</v>
      </c>
      <c r="J620" s="28">
        <v>0</v>
      </c>
      <c r="K620" s="28">
        <v>0</v>
      </c>
      <c r="L620" s="386"/>
      <c r="M620" s="348"/>
      <c r="N620" s="379"/>
      <c r="O620" s="379"/>
    </row>
    <row r="621" spans="1:15" ht="15" customHeight="1">
      <c r="A621" s="323" t="s">
        <v>48</v>
      </c>
      <c r="B621" s="323"/>
      <c r="C621" s="28">
        <f t="shared" si="179"/>
        <v>0</v>
      </c>
      <c r="D621" s="28">
        <v>0</v>
      </c>
      <c r="E621" s="28">
        <v>0</v>
      </c>
      <c r="F621" s="28">
        <v>0</v>
      </c>
      <c r="G621" s="28">
        <v>0</v>
      </c>
      <c r="H621" s="28">
        <f t="shared" si="173"/>
        <v>0</v>
      </c>
      <c r="I621" s="28">
        <v>0</v>
      </c>
      <c r="J621" s="28">
        <v>0</v>
      </c>
      <c r="K621" s="28">
        <v>0</v>
      </c>
      <c r="L621" s="386"/>
      <c r="M621" s="348"/>
      <c r="N621" s="379"/>
      <c r="O621" s="379"/>
    </row>
    <row r="622" spans="1:15" ht="15" customHeight="1">
      <c r="A622" s="323" t="s">
        <v>49</v>
      </c>
      <c r="B622" s="323"/>
      <c r="C622" s="28">
        <f t="shared" si="179"/>
        <v>0</v>
      </c>
      <c r="D622" s="28">
        <v>0</v>
      </c>
      <c r="E622" s="28">
        <v>0</v>
      </c>
      <c r="F622" s="28">
        <v>0</v>
      </c>
      <c r="G622" s="28">
        <v>0</v>
      </c>
      <c r="H622" s="28">
        <f t="shared" si="173"/>
        <v>0</v>
      </c>
      <c r="I622" s="28">
        <v>0</v>
      </c>
      <c r="J622" s="28">
        <v>0</v>
      </c>
      <c r="K622" s="28">
        <v>0</v>
      </c>
      <c r="L622" s="386"/>
      <c r="M622" s="348"/>
      <c r="N622" s="379"/>
      <c r="O622" s="379"/>
    </row>
    <row r="623" spans="1:42" s="2" customFormat="1" ht="38.25" customHeight="1">
      <c r="A623" s="393" t="s">
        <v>171</v>
      </c>
      <c r="B623" s="394"/>
      <c r="C623" s="394"/>
      <c r="D623" s="394"/>
      <c r="E623" s="394"/>
      <c r="F623" s="394"/>
      <c r="G623" s="395"/>
      <c r="H623" s="28"/>
      <c r="I623" s="116"/>
      <c r="J623" s="116"/>
      <c r="K623" s="116"/>
      <c r="L623" s="386" t="s">
        <v>218</v>
      </c>
      <c r="M623" s="348" t="s">
        <v>170</v>
      </c>
      <c r="N623" s="379"/>
      <c r="O623" s="379"/>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row>
    <row r="624" spans="1:42" s="2" customFormat="1" ht="15" customHeight="1">
      <c r="A624" s="380" t="s">
        <v>52</v>
      </c>
      <c r="B624" s="380"/>
      <c r="C624" s="116">
        <f aca="true" t="shared" si="181" ref="C624:C629">SUM(E624:G624)</f>
        <v>0</v>
      </c>
      <c r="D624" s="116">
        <f aca="true" t="shared" si="182" ref="D624:K624">D625+D626+D627+D628+D629</f>
        <v>5086.18</v>
      </c>
      <c r="E624" s="116">
        <f t="shared" si="182"/>
        <v>0</v>
      </c>
      <c r="F624" s="116">
        <f t="shared" si="182"/>
        <v>0</v>
      </c>
      <c r="G624" s="116">
        <f t="shared" si="182"/>
        <v>0</v>
      </c>
      <c r="H624" s="28">
        <f t="shared" si="173"/>
        <v>0</v>
      </c>
      <c r="I624" s="28">
        <f t="shared" si="182"/>
        <v>0</v>
      </c>
      <c r="J624" s="28">
        <f t="shared" si="182"/>
        <v>0</v>
      </c>
      <c r="K624" s="28">
        <f t="shared" si="182"/>
        <v>0</v>
      </c>
      <c r="L624" s="386"/>
      <c r="M624" s="348"/>
      <c r="N624" s="379"/>
      <c r="O624" s="379"/>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row>
    <row r="625" spans="1:15" ht="15" customHeight="1">
      <c r="A625" s="380" t="s">
        <v>45</v>
      </c>
      <c r="B625" s="380"/>
      <c r="C625" s="116">
        <f t="shared" si="181"/>
        <v>0</v>
      </c>
      <c r="D625" s="116">
        <v>0</v>
      </c>
      <c r="E625" s="116">
        <v>0</v>
      </c>
      <c r="F625" s="116">
        <v>0</v>
      </c>
      <c r="G625" s="116">
        <f>L618+M618+N618</f>
        <v>0</v>
      </c>
      <c r="H625" s="28">
        <f t="shared" si="173"/>
        <v>0</v>
      </c>
      <c r="I625" s="28">
        <v>0</v>
      </c>
      <c r="J625" s="28">
        <v>0</v>
      </c>
      <c r="K625" s="28">
        <v>0</v>
      </c>
      <c r="L625" s="386"/>
      <c r="M625" s="348"/>
      <c r="N625" s="379"/>
      <c r="O625" s="379"/>
    </row>
    <row r="626" spans="1:15" ht="15" customHeight="1">
      <c r="A626" s="380" t="s">
        <v>46</v>
      </c>
      <c r="B626" s="380"/>
      <c r="C626" s="116">
        <f t="shared" si="181"/>
        <v>0</v>
      </c>
      <c r="D626" s="116">
        <v>5086.18</v>
      </c>
      <c r="E626" s="116">
        <v>0</v>
      </c>
      <c r="F626" s="116">
        <v>0</v>
      </c>
      <c r="G626" s="116">
        <v>0</v>
      </c>
      <c r="H626" s="28">
        <f t="shared" si="173"/>
        <v>0</v>
      </c>
      <c r="I626" s="28">
        <v>0</v>
      </c>
      <c r="J626" s="28">
        <v>0</v>
      </c>
      <c r="K626" s="28">
        <v>0</v>
      </c>
      <c r="L626" s="386"/>
      <c r="M626" s="348"/>
      <c r="N626" s="379"/>
      <c r="O626" s="379"/>
    </row>
    <row r="627" spans="1:15" ht="15" customHeight="1">
      <c r="A627" s="380" t="s">
        <v>47</v>
      </c>
      <c r="B627" s="380"/>
      <c r="C627" s="116">
        <f t="shared" si="181"/>
        <v>0</v>
      </c>
      <c r="D627" s="116">
        <v>0</v>
      </c>
      <c r="E627" s="116">
        <v>0</v>
      </c>
      <c r="F627" s="116">
        <v>0</v>
      </c>
      <c r="G627" s="116">
        <f>L620+M620+N620</f>
        <v>0</v>
      </c>
      <c r="H627" s="28">
        <f t="shared" si="173"/>
        <v>0</v>
      </c>
      <c r="I627" s="28">
        <v>0</v>
      </c>
      <c r="J627" s="28">
        <v>0</v>
      </c>
      <c r="K627" s="28">
        <v>0</v>
      </c>
      <c r="L627" s="386"/>
      <c r="M627" s="348"/>
      <c r="N627" s="379"/>
      <c r="O627" s="379"/>
    </row>
    <row r="628" spans="1:15" ht="15" customHeight="1">
      <c r="A628" s="380" t="s">
        <v>48</v>
      </c>
      <c r="B628" s="380"/>
      <c r="C628" s="116">
        <f t="shared" si="181"/>
        <v>0</v>
      </c>
      <c r="D628" s="116">
        <v>0</v>
      </c>
      <c r="E628" s="116">
        <v>0</v>
      </c>
      <c r="F628" s="116">
        <v>0</v>
      </c>
      <c r="G628" s="116">
        <f>L621+M621+N621</f>
        <v>0</v>
      </c>
      <c r="H628" s="28">
        <f t="shared" si="173"/>
        <v>0</v>
      </c>
      <c r="I628" s="28">
        <v>0</v>
      </c>
      <c r="J628" s="28">
        <v>0</v>
      </c>
      <c r="K628" s="28">
        <v>0</v>
      </c>
      <c r="L628" s="386"/>
      <c r="M628" s="348"/>
      <c r="N628" s="379"/>
      <c r="O628" s="379"/>
    </row>
    <row r="629" spans="1:15" ht="15" customHeight="1">
      <c r="A629" s="380" t="s">
        <v>49</v>
      </c>
      <c r="B629" s="380"/>
      <c r="C629" s="116">
        <f t="shared" si="181"/>
        <v>0</v>
      </c>
      <c r="D629" s="116">
        <v>0</v>
      </c>
      <c r="E629" s="116">
        <v>0</v>
      </c>
      <c r="F629" s="116">
        <v>0</v>
      </c>
      <c r="G629" s="116">
        <f>L622+M622+N622</f>
        <v>0</v>
      </c>
      <c r="H629" s="28">
        <f t="shared" si="173"/>
        <v>0</v>
      </c>
      <c r="I629" s="28">
        <v>0</v>
      </c>
      <c r="J629" s="28">
        <v>0</v>
      </c>
      <c r="K629" s="28">
        <v>0</v>
      </c>
      <c r="L629" s="386"/>
      <c r="M629" s="348"/>
      <c r="N629" s="379"/>
      <c r="O629" s="379"/>
    </row>
    <row r="630" spans="1:15" ht="38.25" customHeight="1">
      <c r="A630" s="393" t="s">
        <v>173</v>
      </c>
      <c r="B630" s="394"/>
      <c r="C630" s="394"/>
      <c r="D630" s="394"/>
      <c r="E630" s="394"/>
      <c r="F630" s="394"/>
      <c r="G630" s="395"/>
      <c r="H630" s="28"/>
      <c r="I630" s="116"/>
      <c r="J630" s="116"/>
      <c r="K630" s="116"/>
      <c r="L630" s="386" t="s">
        <v>218</v>
      </c>
      <c r="M630" s="348" t="s">
        <v>170</v>
      </c>
      <c r="N630" s="379"/>
      <c r="O630" s="379"/>
    </row>
    <row r="631" spans="1:15" ht="15" customHeight="1">
      <c r="A631" s="380" t="s">
        <v>52</v>
      </c>
      <c r="B631" s="380"/>
      <c r="C631" s="116">
        <f aca="true" t="shared" si="183" ref="C631:C636">SUM(E631:G631)</f>
        <v>0</v>
      </c>
      <c r="D631" s="116">
        <f aca="true" t="shared" si="184" ref="D631:K631">D632+D633+D634+D635+D636</f>
        <v>1081.719</v>
      </c>
      <c r="E631" s="116">
        <f t="shared" si="184"/>
        <v>0</v>
      </c>
      <c r="F631" s="116">
        <f t="shared" si="184"/>
        <v>0</v>
      </c>
      <c r="G631" s="116">
        <f t="shared" si="184"/>
        <v>0</v>
      </c>
      <c r="H631" s="28">
        <f t="shared" si="173"/>
        <v>0</v>
      </c>
      <c r="I631" s="28">
        <f t="shared" si="184"/>
        <v>0</v>
      </c>
      <c r="J631" s="28">
        <f t="shared" si="184"/>
        <v>0</v>
      </c>
      <c r="K631" s="28">
        <f t="shared" si="184"/>
        <v>0</v>
      </c>
      <c r="L631" s="386"/>
      <c r="M631" s="348"/>
      <c r="N631" s="379"/>
      <c r="O631" s="379"/>
    </row>
    <row r="632" spans="1:15" ht="15" customHeight="1">
      <c r="A632" s="380" t="s">
        <v>45</v>
      </c>
      <c r="B632" s="380"/>
      <c r="C632" s="116">
        <f t="shared" si="183"/>
        <v>0</v>
      </c>
      <c r="D632" s="116">
        <v>0</v>
      </c>
      <c r="E632" s="116">
        <v>0</v>
      </c>
      <c r="F632" s="116">
        <v>0</v>
      </c>
      <c r="G632" s="116">
        <v>0</v>
      </c>
      <c r="H632" s="28">
        <f t="shared" si="173"/>
        <v>0</v>
      </c>
      <c r="I632" s="28">
        <v>0</v>
      </c>
      <c r="J632" s="28">
        <v>0</v>
      </c>
      <c r="K632" s="28">
        <v>0</v>
      </c>
      <c r="L632" s="386"/>
      <c r="M632" s="348"/>
      <c r="N632" s="379"/>
      <c r="O632" s="379"/>
    </row>
    <row r="633" spans="1:15" ht="15" customHeight="1">
      <c r="A633" s="380" t="s">
        <v>46</v>
      </c>
      <c r="B633" s="380"/>
      <c r="C633" s="116">
        <f t="shared" si="183"/>
        <v>0</v>
      </c>
      <c r="D633" s="116">
        <v>1081.719</v>
      </c>
      <c r="E633" s="116">
        <v>0</v>
      </c>
      <c r="F633" s="116">
        <v>0</v>
      </c>
      <c r="G633" s="116">
        <v>0</v>
      </c>
      <c r="H633" s="28">
        <f t="shared" si="173"/>
        <v>0</v>
      </c>
      <c r="I633" s="28">
        <v>0</v>
      </c>
      <c r="J633" s="28">
        <v>0</v>
      </c>
      <c r="K633" s="28">
        <v>0</v>
      </c>
      <c r="L633" s="386"/>
      <c r="M633" s="348"/>
      <c r="N633" s="379"/>
      <c r="O633" s="379"/>
    </row>
    <row r="634" spans="1:15" ht="15" customHeight="1">
      <c r="A634" s="380" t="s">
        <v>47</v>
      </c>
      <c r="B634" s="380"/>
      <c r="C634" s="116">
        <f t="shared" si="183"/>
        <v>0</v>
      </c>
      <c r="D634" s="116">
        <v>0</v>
      </c>
      <c r="E634" s="116">
        <v>0</v>
      </c>
      <c r="F634" s="116">
        <v>0</v>
      </c>
      <c r="G634" s="116">
        <v>0</v>
      </c>
      <c r="H634" s="28">
        <f t="shared" si="173"/>
        <v>0</v>
      </c>
      <c r="I634" s="28">
        <v>0</v>
      </c>
      <c r="J634" s="28">
        <v>0</v>
      </c>
      <c r="K634" s="28">
        <v>0</v>
      </c>
      <c r="L634" s="386"/>
      <c r="M634" s="348"/>
      <c r="N634" s="379"/>
      <c r="O634" s="379"/>
    </row>
    <row r="635" spans="1:15" ht="15" customHeight="1">
      <c r="A635" s="380" t="s">
        <v>48</v>
      </c>
      <c r="B635" s="380"/>
      <c r="C635" s="116">
        <f t="shared" si="183"/>
        <v>0</v>
      </c>
      <c r="D635" s="116">
        <v>0</v>
      </c>
      <c r="E635" s="116">
        <v>0</v>
      </c>
      <c r="F635" s="116">
        <v>0</v>
      </c>
      <c r="G635" s="116">
        <v>0</v>
      </c>
      <c r="H635" s="28">
        <f t="shared" si="173"/>
        <v>0</v>
      </c>
      <c r="I635" s="28">
        <v>0</v>
      </c>
      <c r="J635" s="28">
        <v>0</v>
      </c>
      <c r="K635" s="28">
        <v>0</v>
      </c>
      <c r="L635" s="386"/>
      <c r="M635" s="348"/>
      <c r="N635" s="379"/>
      <c r="O635" s="379"/>
    </row>
    <row r="636" spans="1:17" ht="15" customHeight="1">
      <c r="A636" s="380" t="s">
        <v>49</v>
      </c>
      <c r="B636" s="380"/>
      <c r="C636" s="116">
        <f t="shared" si="183"/>
        <v>0</v>
      </c>
      <c r="D636" s="116">
        <v>0</v>
      </c>
      <c r="E636" s="116">
        <v>0</v>
      </c>
      <c r="F636" s="116">
        <v>0</v>
      </c>
      <c r="G636" s="116">
        <v>0</v>
      </c>
      <c r="H636" s="28">
        <f t="shared" si="173"/>
        <v>0</v>
      </c>
      <c r="I636" s="28">
        <v>0</v>
      </c>
      <c r="J636" s="28">
        <v>0</v>
      </c>
      <c r="K636" s="28">
        <v>0</v>
      </c>
      <c r="L636" s="386"/>
      <c r="M636" s="348"/>
      <c r="N636" s="379"/>
      <c r="O636" s="379"/>
      <c r="Q636" s="148"/>
    </row>
    <row r="637" spans="1:15" ht="38.25" customHeight="1">
      <c r="A637" s="393" t="s">
        <v>8</v>
      </c>
      <c r="B637" s="394"/>
      <c r="C637" s="394"/>
      <c r="D637" s="394"/>
      <c r="E637" s="394"/>
      <c r="F637" s="394"/>
      <c r="G637" s="395"/>
      <c r="H637" s="28"/>
      <c r="I637" s="116"/>
      <c r="J637" s="116"/>
      <c r="K637" s="116"/>
      <c r="L637" s="386" t="s">
        <v>249</v>
      </c>
      <c r="M637" s="348" t="s">
        <v>170</v>
      </c>
      <c r="N637" s="379" t="s">
        <v>89</v>
      </c>
      <c r="O637" s="379" t="s">
        <v>359</v>
      </c>
    </row>
    <row r="638" spans="1:15" ht="15" customHeight="1">
      <c r="A638" s="380" t="s">
        <v>52</v>
      </c>
      <c r="B638" s="380"/>
      <c r="C638" s="116">
        <f aca="true" t="shared" si="185" ref="C638:C643">SUM(E638:G638)</f>
        <v>35071.17312</v>
      </c>
      <c r="D638" s="116">
        <f aca="true" t="shared" si="186" ref="D638:K638">D639+D640+D641+D642+D643</f>
        <v>0</v>
      </c>
      <c r="E638" s="116">
        <f t="shared" si="186"/>
        <v>0</v>
      </c>
      <c r="F638" s="116">
        <f t="shared" si="186"/>
        <v>23920.52812</v>
      </c>
      <c r="G638" s="116">
        <f t="shared" si="186"/>
        <v>11150.645</v>
      </c>
      <c r="H638" s="28">
        <f t="shared" si="173"/>
        <v>56141.714</v>
      </c>
      <c r="I638" s="116">
        <f t="shared" si="186"/>
        <v>56141.714</v>
      </c>
      <c r="J638" s="116">
        <f t="shared" si="186"/>
        <v>0</v>
      </c>
      <c r="K638" s="116">
        <f t="shared" si="186"/>
        <v>0</v>
      </c>
      <c r="L638" s="386"/>
      <c r="M638" s="348"/>
      <c r="N638" s="379"/>
      <c r="O638" s="379"/>
    </row>
    <row r="639" spans="1:15" ht="15" customHeight="1">
      <c r="A639" s="380" t="s">
        <v>45</v>
      </c>
      <c r="B639" s="380"/>
      <c r="C639" s="116">
        <f t="shared" si="185"/>
        <v>0</v>
      </c>
      <c r="D639" s="116">
        <v>0</v>
      </c>
      <c r="E639" s="116">
        <v>0</v>
      </c>
      <c r="F639" s="116">
        <v>0</v>
      </c>
      <c r="G639" s="116">
        <v>0</v>
      </c>
      <c r="H639" s="28">
        <f t="shared" si="173"/>
        <v>0</v>
      </c>
      <c r="I639" s="116">
        <v>0</v>
      </c>
      <c r="J639" s="116">
        <v>0</v>
      </c>
      <c r="K639" s="116">
        <v>0</v>
      </c>
      <c r="L639" s="386"/>
      <c r="M639" s="348"/>
      <c r="N639" s="379"/>
      <c r="O639" s="379"/>
    </row>
    <row r="640" spans="1:15" ht="15" customHeight="1">
      <c r="A640" s="380" t="s">
        <v>46</v>
      </c>
      <c r="B640" s="380"/>
      <c r="C640" s="116">
        <f t="shared" si="185"/>
        <v>35071.17312</v>
      </c>
      <c r="D640" s="116">
        <v>0</v>
      </c>
      <c r="E640" s="116">
        <v>0</v>
      </c>
      <c r="F640" s="116">
        <v>23920.52812</v>
      </c>
      <c r="G640" s="116">
        <v>11150.645</v>
      </c>
      <c r="H640" s="28">
        <f t="shared" si="173"/>
        <v>56141.714</v>
      </c>
      <c r="I640" s="131">
        <v>56141.714</v>
      </c>
      <c r="J640" s="116">
        <v>0</v>
      </c>
      <c r="K640" s="116">
        <v>0</v>
      </c>
      <c r="L640" s="386"/>
      <c r="M640" s="348"/>
      <c r="N640" s="379"/>
      <c r="O640" s="379"/>
    </row>
    <row r="641" spans="1:15" ht="15" customHeight="1">
      <c r="A641" s="380" t="s">
        <v>47</v>
      </c>
      <c r="B641" s="380"/>
      <c r="C641" s="116">
        <f t="shared" si="185"/>
        <v>0</v>
      </c>
      <c r="D641" s="116">
        <v>0</v>
      </c>
      <c r="E641" s="116">
        <v>0</v>
      </c>
      <c r="F641" s="116">
        <v>0</v>
      </c>
      <c r="G641" s="116">
        <v>0</v>
      </c>
      <c r="H641" s="28">
        <f t="shared" si="173"/>
        <v>0</v>
      </c>
      <c r="I641" s="116">
        <v>0</v>
      </c>
      <c r="J641" s="116">
        <v>0</v>
      </c>
      <c r="K641" s="116">
        <v>0</v>
      </c>
      <c r="L641" s="386"/>
      <c r="M641" s="348"/>
      <c r="N641" s="379"/>
      <c r="O641" s="379"/>
    </row>
    <row r="642" spans="1:15" ht="15" customHeight="1">
      <c r="A642" s="380" t="s">
        <v>48</v>
      </c>
      <c r="B642" s="380"/>
      <c r="C642" s="116">
        <f t="shared" si="185"/>
        <v>0</v>
      </c>
      <c r="D642" s="116">
        <v>0</v>
      </c>
      <c r="E642" s="116">
        <v>0</v>
      </c>
      <c r="F642" s="116">
        <v>0</v>
      </c>
      <c r="G642" s="116">
        <v>0</v>
      </c>
      <c r="H642" s="28">
        <f t="shared" si="173"/>
        <v>0</v>
      </c>
      <c r="I642" s="116">
        <v>0</v>
      </c>
      <c r="J642" s="116">
        <v>0</v>
      </c>
      <c r="K642" s="116">
        <v>0</v>
      </c>
      <c r="L642" s="386"/>
      <c r="M642" s="348"/>
      <c r="N642" s="379"/>
      <c r="O642" s="379"/>
    </row>
    <row r="643" spans="1:42" s="11" customFormat="1" ht="15" customHeight="1">
      <c r="A643" s="380" t="s">
        <v>49</v>
      </c>
      <c r="B643" s="380"/>
      <c r="C643" s="116">
        <f t="shared" si="185"/>
        <v>0</v>
      </c>
      <c r="D643" s="116">
        <v>0</v>
      </c>
      <c r="E643" s="116">
        <v>0</v>
      </c>
      <c r="F643" s="116">
        <v>0</v>
      </c>
      <c r="G643" s="116">
        <v>0</v>
      </c>
      <c r="H643" s="28">
        <f t="shared" si="173"/>
        <v>0</v>
      </c>
      <c r="I643" s="116">
        <v>0</v>
      </c>
      <c r="J643" s="116">
        <v>0</v>
      </c>
      <c r="K643" s="116">
        <v>0</v>
      </c>
      <c r="L643" s="386"/>
      <c r="M643" s="348"/>
      <c r="N643" s="379"/>
      <c r="O643" s="379"/>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row>
    <row r="644" spans="1:15" ht="59.25" customHeight="1">
      <c r="A644" s="393" t="s">
        <v>24</v>
      </c>
      <c r="B644" s="394"/>
      <c r="C644" s="394"/>
      <c r="D644" s="394"/>
      <c r="E644" s="394"/>
      <c r="F644" s="394"/>
      <c r="G644" s="395"/>
      <c r="H644" s="28"/>
      <c r="I644" s="116"/>
      <c r="J644" s="116"/>
      <c r="K644" s="116"/>
      <c r="L644" s="386" t="s">
        <v>218</v>
      </c>
      <c r="M644" s="348" t="s">
        <v>170</v>
      </c>
      <c r="N644" s="379"/>
      <c r="O644" s="379"/>
    </row>
    <row r="645" spans="1:42" s="11" customFormat="1" ht="15" customHeight="1">
      <c r="A645" s="380" t="s">
        <v>52</v>
      </c>
      <c r="B645" s="380"/>
      <c r="C645" s="116">
        <f aca="true" t="shared" si="187" ref="C645:C650">SUM(E645:G645)</f>
        <v>15902.422999999999</v>
      </c>
      <c r="D645" s="116">
        <f aca="true" t="shared" si="188" ref="D645:K645">D646+D647+D648+D649+D650</f>
        <v>0</v>
      </c>
      <c r="E645" s="116">
        <f t="shared" si="188"/>
        <v>0</v>
      </c>
      <c r="F645" s="116">
        <f t="shared" si="188"/>
        <v>12786</v>
      </c>
      <c r="G645" s="116">
        <f t="shared" si="188"/>
        <v>3116.423</v>
      </c>
      <c r="H645" s="28">
        <f t="shared" si="173"/>
        <v>0</v>
      </c>
      <c r="I645" s="116">
        <f t="shared" si="188"/>
        <v>0</v>
      </c>
      <c r="J645" s="116">
        <f t="shared" si="188"/>
        <v>0</v>
      </c>
      <c r="K645" s="116">
        <f t="shared" si="188"/>
        <v>0</v>
      </c>
      <c r="L645" s="386"/>
      <c r="M645" s="348"/>
      <c r="N645" s="379"/>
      <c r="O645" s="379"/>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row>
    <row r="646" spans="1:42" s="11" customFormat="1" ht="15" customHeight="1">
      <c r="A646" s="380" t="s">
        <v>45</v>
      </c>
      <c r="B646" s="380"/>
      <c r="C646" s="116">
        <f t="shared" si="187"/>
        <v>0</v>
      </c>
      <c r="D646" s="116">
        <v>0</v>
      </c>
      <c r="E646" s="116">
        <v>0</v>
      </c>
      <c r="F646" s="116">
        <v>0</v>
      </c>
      <c r="G646" s="116">
        <v>0</v>
      </c>
      <c r="H646" s="28">
        <f t="shared" si="173"/>
        <v>0</v>
      </c>
      <c r="I646" s="116">
        <v>0</v>
      </c>
      <c r="J646" s="116">
        <v>0</v>
      </c>
      <c r="K646" s="116">
        <v>0</v>
      </c>
      <c r="L646" s="386"/>
      <c r="M646" s="348"/>
      <c r="N646" s="379"/>
      <c r="O646" s="379"/>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c r="AN646" s="146"/>
      <c r="AO646" s="146"/>
      <c r="AP646" s="146"/>
    </row>
    <row r="647" spans="1:42" s="11" customFormat="1" ht="15" customHeight="1">
      <c r="A647" s="380" t="s">
        <v>46</v>
      </c>
      <c r="B647" s="380"/>
      <c r="C647" s="116">
        <f t="shared" si="187"/>
        <v>15902.422999999999</v>
      </c>
      <c r="D647" s="116">
        <v>0</v>
      </c>
      <c r="E647" s="116">
        <v>0</v>
      </c>
      <c r="F647" s="116">
        <v>12786</v>
      </c>
      <c r="G647" s="116">
        <v>3116.423</v>
      </c>
      <c r="H647" s="28">
        <f t="shared" si="173"/>
        <v>0</v>
      </c>
      <c r="I647" s="116">
        <v>0</v>
      </c>
      <c r="J647" s="116">
        <v>0</v>
      </c>
      <c r="K647" s="116">
        <v>0</v>
      </c>
      <c r="L647" s="386"/>
      <c r="M647" s="348"/>
      <c r="N647" s="379"/>
      <c r="O647" s="379"/>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AN647" s="146"/>
      <c r="AO647" s="146"/>
      <c r="AP647" s="146"/>
    </row>
    <row r="648" spans="1:42" s="11" customFormat="1" ht="15" customHeight="1">
      <c r="A648" s="380" t="s">
        <v>47</v>
      </c>
      <c r="B648" s="380"/>
      <c r="C648" s="116">
        <f t="shared" si="187"/>
        <v>0</v>
      </c>
      <c r="D648" s="116">
        <v>0</v>
      </c>
      <c r="E648" s="116">
        <v>0</v>
      </c>
      <c r="F648" s="116">
        <v>0</v>
      </c>
      <c r="G648" s="116">
        <v>0</v>
      </c>
      <c r="H648" s="28">
        <f t="shared" si="173"/>
        <v>0</v>
      </c>
      <c r="I648" s="116">
        <v>0</v>
      </c>
      <c r="J648" s="116">
        <v>0</v>
      </c>
      <c r="K648" s="116">
        <v>0</v>
      </c>
      <c r="L648" s="386"/>
      <c r="M648" s="348"/>
      <c r="N648" s="379"/>
      <c r="O648" s="379"/>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AN648" s="146"/>
      <c r="AO648" s="146"/>
      <c r="AP648" s="146"/>
    </row>
    <row r="649" spans="1:42" s="11" customFormat="1" ht="15" customHeight="1">
      <c r="A649" s="380" t="s">
        <v>48</v>
      </c>
      <c r="B649" s="380"/>
      <c r="C649" s="116">
        <f t="shared" si="187"/>
        <v>0</v>
      </c>
      <c r="D649" s="116">
        <v>0</v>
      </c>
      <c r="E649" s="116">
        <v>0</v>
      </c>
      <c r="F649" s="116">
        <v>0</v>
      </c>
      <c r="G649" s="116">
        <v>0</v>
      </c>
      <c r="H649" s="28">
        <f t="shared" si="173"/>
        <v>0</v>
      </c>
      <c r="I649" s="116">
        <v>0</v>
      </c>
      <c r="J649" s="116">
        <v>0</v>
      </c>
      <c r="K649" s="116">
        <v>0</v>
      </c>
      <c r="L649" s="386"/>
      <c r="M649" s="348"/>
      <c r="N649" s="379"/>
      <c r="O649" s="379"/>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c r="AN649" s="146"/>
      <c r="AO649" s="146"/>
      <c r="AP649" s="146"/>
    </row>
    <row r="650" spans="1:42" s="11" customFormat="1" ht="15" customHeight="1">
      <c r="A650" s="380" t="s">
        <v>49</v>
      </c>
      <c r="B650" s="380"/>
      <c r="C650" s="116">
        <f t="shared" si="187"/>
        <v>0</v>
      </c>
      <c r="D650" s="116">
        <v>0</v>
      </c>
      <c r="E650" s="116">
        <v>0</v>
      </c>
      <c r="F650" s="116">
        <v>0</v>
      </c>
      <c r="G650" s="116">
        <v>0</v>
      </c>
      <c r="H650" s="28">
        <f t="shared" si="173"/>
        <v>0</v>
      </c>
      <c r="I650" s="116">
        <v>0</v>
      </c>
      <c r="J650" s="116">
        <v>0</v>
      </c>
      <c r="K650" s="116">
        <v>0</v>
      </c>
      <c r="L650" s="386"/>
      <c r="M650" s="348"/>
      <c r="N650" s="379"/>
      <c r="O650" s="379"/>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c r="AN650" s="146"/>
      <c r="AO650" s="146"/>
      <c r="AP650" s="146"/>
    </row>
    <row r="651" spans="1:15" ht="106.5" customHeight="1">
      <c r="A651" s="329" t="s">
        <v>250</v>
      </c>
      <c r="B651" s="330"/>
      <c r="C651" s="330"/>
      <c r="D651" s="330"/>
      <c r="E651" s="330"/>
      <c r="F651" s="330"/>
      <c r="G651" s="331"/>
      <c r="H651" s="28"/>
      <c r="I651" s="28"/>
      <c r="J651" s="28"/>
      <c r="K651" s="28"/>
      <c r="L651" s="386" t="s">
        <v>218</v>
      </c>
      <c r="M651" s="348" t="s">
        <v>170</v>
      </c>
      <c r="N651" s="311"/>
      <c r="O651" s="347"/>
    </row>
    <row r="652" spans="1:42" s="10" customFormat="1" ht="15" customHeight="1">
      <c r="A652" s="323" t="s">
        <v>52</v>
      </c>
      <c r="B652" s="323"/>
      <c r="C652" s="28">
        <f aca="true" t="shared" si="189" ref="C652:C657">SUM(E652:G652)</f>
        <v>653.1684</v>
      </c>
      <c r="D652" s="28">
        <f aca="true" t="shared" si="190" ref="D652:K652">D653+D654+D655+D656+D657</f>
        <v>0</v>
      </c>
      <c r="E652" s="28">
        <f t="shared" si="190"/>
        <v>0</v>
      </c>
      <c r="F652" s="28">
        <f t="shared" si="190"/>
        <v>653.1684</v>
      </c>
      <c r="G652" s="28">
        <f t="shared" si="190"/>
        <v>0</v>
      </c>
      <c r="H652" s="28">
        <f t="shared" si="173"/>
        <v>0</v>
      </c>
      <c r="I652" s="116">
        <f t="shared" si="190"/>
        <v>0</v>
      </c>
      <c r="J652" s="116">
        <f t="shared" si="190"/>
        <v>0</v>
      </c>
      <c r="K652" s="116">
        <f t="shared" si="190"/>
        <v>0</v>
      </c>
      <c r="L652" s="386"/>
      <c r="M652" s="348"/>
      <c r="N652" s="312"/>
      <c r="O652" s="347"/>
      <c r="P652" s="142"/>
      <c r="Q652" s="142"/>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row>
    <row r="653" spans="1:15" ht="15" customHeight="1">
      <c r="A653" s="323" t="s">
        <v>45</v>
      </c>
      <c r="B653" s="323"/>
      <c r="C653" s="28">
        <f t="shared" si="189"/>
        <v>0</v>
      </c>
      <c r="D653" s="28">
        <v>0</v>
      </c>
      <c r="E653" s="28">
        <v>0</v>
      </c>
      <c r="F653" s="28">
        <v>0</v>
      </c>
      <c r="G653" s="28">
        <v>0</v>
      </c>
      <c r="H653" s="28">
        <f t="shared" si="173"/>
        <v>0</v>
      </c>
      <c r="I653" s="116">
        <v>0</v>
      </c>
      <c r="J653" s="116">
        <v>0</v>
      </c>
      <c r="K653" s="116">
        <v>0</v>
      </c>
      <c r="L653" s="386"/>
      <c r="M653" s="348"/>
      <c r="N653" s="312"/>
      <c r="O653" s="347"/>
    </row>
    <row r="654" spans="1:15" ht="15" customHeight="1">
      <c r="A654" s="323" t="s">
        <v>46</v>
      </c>
      <c r="B654" s="323"/>
      <c r="C654" s="28">
        <v>0</v>
      </c>
      <c r="D654" s="28">
        <v>0</v>
      </c>
      <c r="E654" s="28">
        <v>0</v>
      </c>
      <c r="F654" s="28">
        <v>653.1684</v>
      </c>
      <c r="G654" s="28">
        <v>0</v>
      </c>
      <c r="H654" s="28">
        <f t="shared" si="173"/>
        <v>0</v>
      </c>
      <c r="I654" s="116">
        <v>0</v>
      </c>
      <c r="J654" s="116">
        <v>0</v>
      </c>
      <c r="K654" s="116">
        <v>0</v>
      </c>
      <c r="L654" s="386"/>
      <c r="M654" s="348"/>
      <c r="N654" s="312"/>
      <c r="O654" s="347"/>
    </row>
    <row r="655" spans="1:15" ht="15" customHeight="1">
      <c r="A655" s="323" t="s">
        <v>47</v>
      </c>
      <c r="B655" s="323"/>
      <c r="C655" s="28">
        <f t="shared" si="189"/>
        <v>0</v>
      </c>
      <c r="D655" s="28">
        <v>0</v>
      </c>
      <c r="E655" s="28">
        <v>0</v>
      </c>
      <c r="F655" s="28">
        <v>0</v>
      </c>
      <c r="G655" s="28">
        <v>0</v>
      </c>
      <c r="H655" s="28">
        <f aca="true" t="shared" si="191" ref="H655:H718">I655+J655+K655</f>
        <v>0</v>
      </c>
      <c r="I655" s="116">
        <v>0</v>
      </c>
      <c r="J655" s="116">
        <v>0</v>
      </c>
      <c r="K655" s="116">
        <v>0</v>
      </c>
      <c r="L655" s="386"/>
      <c r="M655" s="348"/>
      <c r="N655" s="312"/>
      <c r="O655" s="347"/>
    </row>
    <row r="656" spans="1:15" ht="15" customHeight="1">
      <c r="A656" s="323" t="s">
        <v>48</v>
      </c>
      <c r="B656" s="323"/>
      <c r="C656" s="28">
        <f t="shared" si="189"/>
        <v>0</v>
      </c>
      <c r="D656" s="28">
        <v>0</v>
      </c>
      <c r="E656" s="28">
        <v>0</v>
      </c>
      <c r="F656" s="28">
        <v>0</v>
      </c>
      <c r="G656" s="28">
        <v>0</v>
      </c>
      <c r="H656" s="28">
        <f t="shared" si="191"/>
        <v>0</v>
      </c>
      <c r="I656" s="116">
        <v>0</v>
      </c>
      <c r="J656" s="116">
        <v>0</v>
      </c>
      <c r="K656" s="116">
        <v>0</v>
      </c>
      <c r="L656" s="386"/>
      <c r="M656" s="348"/>
      <c r="N656" s="312"/>
      <c r="O656" s="347"/>
    </row>
    <row r="657" spans="1:15" ht="15" customHeight="1">
      <c r="A657" s="323" t="s">
        <v>49</v>
      </c>
      <c r="B657" s="323"/>
      <c r="C657" s="28">
        <f t="shared" si="189"/>
        <v>0</v>
      </c>
      <c r="D657" s="28">
        <v>0</v>
      </c>
      <c r="E657" s="28">
        <v>0</v>
      </c>
      <c r="F657" s="28">
        <v>0</v>
      </c>
      <c r="G657" s="28">
        <v>0</v>
      </c>
      <c r="H657" s="28">
        <f t="shared" si="191"/>
        <v>0</v>
      </c>
      <c r="I657" s="116">
        <v>0</v>
      </c>
      <c r="J657" s="116">
        <v>0</v>
      </c>
      <c r="K657" s="116">
        <v>0</v>
      </c>
      <c r="L657" s="386"/>
      <c r="M657" s="348"/>
      <c r="N657" s="313"/>
      <c r="O657" s="347"/>
    </row>
    <row r="658" spans="1:15" ht="54" customHeight="1">
      <c r="A658" s="329" t="s">
        <v>10</v>
      </c>
      <c r="B658" s="330"/>
      <c r="C658" s="330"/>
      <c r="D658" s="330"/>
      <c r="E658" s="330"/>
      <c r="F658" s="330"/>
      <c r="G658" s="331"/>
      <c r="H658" s="28"/>
      <c r="I658" s="28"/>
      <c r="J658" s="28"/>
      <c r="K658" s="28"/>
      <c r="L658" s="383" t="s">
        <v>218</v>
      </c>
      <c r="M658" s="308" t="s">
        <v>170</v>
      </c>
      <c r="N658" s="387"/>
      <c r="O658" s="387"/>
    </row>
    <row r="659" spans="1:42" s="10" customFormat="1" ht="15" customHeight="1">
      <c r="A659" s="323" t="s">
        <v>52</v>
      </c>
      <c r="B659" s="323"/>
      <c r="C659" s="28">
        <f>SUM(E659:G659)</f>
        <v>0</v>
      </c>
      <c r="D659" s="28">
        <f aca="true" t="shared" si="192" ref="D659:K659">D660+D661+D662+D663+D664</f>
        <v>0</v>
      </c>
      <c r="E659" s="28">
        <f t="shared" si="192"/>
        <v>0</v>
      </c>
      <c r="F659" s="28">
        <f t="shared" si="192"/>
        <v>0</v>
      </c>
      <c r="G659" s="28">
        <f t="shared" si="192"/>
        <v>0</v>
      </c>
      <c r="H659" s="28">
        <f t="shared" si="191"/>
        <v>0</v>
      </c>
      <c r="I659" s="116">
        <f>I660+I661+I662+I663+I664</f>
        <v>0</v>
      </c>
      <c r="J659" s="116">
        <f t="shared" si="192"/>
        <v>0</v>
      </c>
      <c r="K659" s="116">
        <f t="shared" si="192"/>
        <v>0</v>
      </c>
      <c r="L659" s="384"/>
      <c r="M659" s="309"/>
      <c r="N659" s="388"/>
      <c r="O659" s="388"/>
      <c r="P659" s="142"/>
      <c r="Q659" s="142"/>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row>
    <row r="660" spans="1:15" ht="15" customHeight="1">
      <c r="A660" s="323" t="s">
        <v>45</v>
      </c>
      <c r="B660" s="323"/>
      <c r="C660" s="28">
        <f>SUM(E660:G660)</f>
        <v>0</v>
      </c>
      <c r="D660" s="28">
        <v>0</v>
      </c>
      <c r="E660" s="28">
        <v>0</v>
      </c>
      <c r="F660" s="28">
        <v>0</v>
      </c>
      <c r="G660" s="28">
        <v>0</v>
      </c>
      <c r="H660" s="28">
        <f t="shared" si="191"/>
        <v>0</v>
      </c>
      <c r="I660" s="116">
        <v>0</v>
      </c>
      <c r="J660" s="116">
        <v>0</v>
      </c>
      <c r="K660" s="116">
        <v>0</v>
      </c>
      <c r="L660" s="384"/>
      <c r="M660" s="309"/>
      <c r="N660" s="388"/>
      <c r="O660" s="388"/>
    </row>
    <row r="661" spans="1:15" ht="15" customHeight="1">
      <c r="A661" s="323" t="s">
        <v>46</v>
      </c>
      <c r="B661" s="323"/>
      <c r="C661" s="28">
        <v>0</v>
      </c>
      <c r="D661" s="28">
        <v>0</v>
      </c>
      <c r="E661" s="28">
        <v>0</v>
      </c>
      <c r="F661" s="28">
        <v>0</v>
      </c>
      <c r="G661" s="28">
        <v>0</v>
      </c>
      <c r="H661" s="28">
        <f t="shared" si="191"/>
        <v>0</v>
      </c>
      <c r="I661" s="116">
        <v>0</v>
      </c>
      <c r="J661" s="116">
        <v>0</v>
      </c>
      <c r="K661" s="116">
        <v>0</v>
      </c>
      <c r="L661" s="384"/>
      <c r="M661" s="309"/>
      <c r="N661" s="388"/>
      <c r="O661" s="388"/>
    </row>
    <row r="662" spans="1:15" ht="15" customHeight="1">
      <c r="A662" s="323" t="s">
        <v>47</v>
      </c>
      <c r="B662" s="323"/>
      <c r="C662" s="28">
        <f>SUM(E662:G662)</f>
        <v>0</v>
      </c>
      <c r="D662" s="28">
        <v>0</v>
      </c>
      <c r="E662" s="28">
        <v>0</v>
      </c>
      <c r="F662" s="28">
        <v>0</v>
      </c>
      <c r="G662" s="28">
        <v>0</v>
      </c>
      <c r="H662" s="28">
        <f t="shared" si="191"/>
        <v>0</v>
      </c>
      <c r="I662" s="116">
        <v>0</v>
      </c>
      <c r="J662" s="116">
        <v>0</v>
      </c>
      <c r="K662" s="116">
        <v>0</v>
      </c>
      <c r="L662" s="384"/>
      <c r="M662" s="309"/>
      <c r="N662" s="388"/>
      <c r="O662" s="388"/>
    </row>
    <row r="663" spans="1:15" ht="15" customHeight="1">
      <c r="A663" s="323" t="s">
        <v>48</v>
      </c>
      <c r="B663" s="323"/>
      <c r="C663" s="28">
        <f>SUM(E663:G663)</f>
        <v>0</v>
      </c>
      <c r="D663" s="28">
        <v>0</v>
      </c>
      <c r="E663" s="28">
        <v>0</v>
      </c>
      <c r="F663" s="28">
        <v>0</v>
      </c>
      <c r="G663" s="28">
        <v>0</v>
      </c>
      <c r="H663" s="28">
        <f t="shared" si="191"/>
        <v>0</v>
      </c>
      <c r="I663" s="116">
        <v>0</v>
      </c>
      <c r="J663" s="116">
        <v>0</v>
      </c>
      <c r="K663" s="116">
        <v>0</v>
      </c>
      <c r="L663" s="384"/>
      <c r="M663" s="309"/>
      <c r="N663" s="388"/>
      <c r="O663" s="388"/>
    </row>
    <row r="664" spans="1:15" ht="15" customHeight="1">
      <c r="A664" s="323" t="s">
        <v>49</v>
      </c>
      <c r="B664" s="323"/>
      <c r="C664" s="28">
        <f>SUM(E664:G664)</f>
        <v>0</v>
      </c>
      <c r="D664" s="28">
        <v>0</v>
      </c>
      <c r="E664" s="28">
        <v>0</v>
      </c>
      <c r="F664" s="28">
        <v>0</v>
      </c>
      <c r="G664" s="28">
        <v>0</v>
      </c>
      <c r="H664" s="28">
        <f t="shared" si="191"/>
        <v>0</v>
      </c>
      <c r="I664" s="116">
        <v>0</v>
      </c>
      <c r="J664" s="116">
        <v>0</v>
      </c>
      <c r="K664" s="116">
        <v>0</v>
      </c>
      <c r="L664" s="385"/>
      <c r="M664" s="310"/>
      <c r="N664" s="389"/>
      <c r="O664" s="389"/>
    </row>
    <row r="665" spans="1:15" ht="69.75" customHeight="1">
      <c r="A665" s="324" t="s">
        <v>281</v>
      </c>
      <c r="B665" s="325"/>
      <c r="C665" s="159"/>
      <c r="D665" s="159"/>
      <c r="E665" s="159"/>
      <c r="F665" s="159"/>
      <c r="G665" s="160"/>
      <c r="H665" s="28"/>
      <c r="I665" s="116"/>
      <c r="J665" s="116"/>
      <c r="K665" s="116"/>
      <c r="L665" s="169"/>
      <c r="M665" s="136"/>
      <c r="N665" s="202"/>
      <c r="O665" s="218" t="s">
        <v>278</v>
      </c>
    </row>
    <row r="666" spans="1:15" ht="69.75" customHeight="1">
      <c r="A666" s="324" t="s">
        <v>391</v>
      </c>
      <c r="B666" s="325"/>
      <c r="C666" s="159"/>
      <c r="D666" s="159"/>
      <c r="E666" s="159"/>
      <c r="F666" s="159"/>
      <c r="G666" s="160"/>
      <c r="H666" s="28"/>
      <c r="I666" s="116"/>
      <c r="J666" s="116"/>
      <c r="K666" s="116"/>
      <c r="L666" s="169"/>
      <c r="M666" s="136"/>
      <c r="N666" s="202"/>
      <c r="O666" s="218" t="s">
        <v>248</v>
      </c>
    </row>
    <row r="667" spans="1:15" ht="56.25" customHeight="1">
      <c r="A667" s="381" t="s">
        <v>282</v>
      </c>
      <c r="B667" s="382"/>
      <c r="C667" s="159"/>
      <c r="D667" s="159"/>
      <c r="E667" s="159"/>
      <c r="F667" s="159"/>
      <c r="G667" s="160"/>
      <c r="H667" s="28"/>
      <c r="I667" s="116"/>
      <c r="J667" s="116"/>
      <c r="K667" s="116"/>
      <c r="L667" s="383"/>
      <c r="M667" s="308"/>
      <c r="N667" s="387" t="s">
        <v>89</v>
      </c>
      <c r="O667" s="387" t="s">
        <v>359</v>
      </c>
    </row>
    <row r="668" spans="1:15" ht="12" customHeight="1">
      <c r="A668" s="323" t="s">
        <v>52</v>
      </c>
      <c r="B668" s="323"/>
      <c r="C668" s="28">
        <f>SUM(E668:G668)</f>
        <v>200396.33798</v>
      </c>
      <c r="D668" s="28">
        <f>D669+D671+D673+D674+D675+D672</f>
        <v>110676.164</v>
      </c>
      <c r="E668" s="28">
        <f>E669+E671+E673+E674+E675+E672</f>
        <v>11475.01893</v>
      </c>
      <c r="F668" s="28">
        <f>F669+F671+F673+F674+F675+F672</f>
        <v>3718.43605</v>
      </c>
      <c r="G668" s="28">
        <f>G669+G671+G673+G674+G675+G672</f>
        <v>185202.883</v>
      </c>
      <c r="H668" s="28">
        <f t="shared" si="191"/>
        <v>23131.43</v>
      </c>
      <c r="I668" s="28">
        <f>I669+I670</f>
        <v>23131.43</v>
      </c>
      <c r="J668" s="28">
        <f>J669+J670</f>
        <v>0</v>
      </c>
      <c r="K668" s="28">
        <f>K669+K670</f>
        <v>0</v>
      </c>
      <c r="L668" s="384"/>
      <c r="M668" s="309"/>
      <c r="N668" s="388"/>
      <c r="O668" s="388"/>
    </row>
    <row r="669" spans="1:15" ht="13.5" customHeight="1">
      <c r="A669" s="323" t="s">
        <v>45</v>
      </c>
      <c r="B669" s="323"/>
      <c r="C669" s="28">
        <f aca="true" t="shared" si="193" ref="C669:C675">SUM(E669:G669)</f>
        <v>0</v>
      </c>
      <c r="D669" s="28">
        <f>D678</f>
        <v>0</v>
      </c>
      <c r="E669" s="28">
        <f>E678+E685+E701+E708+E715+E722+E729+E736+E743+E750+E757+E764</f>
        <v>0</v>
      </c>
      <c r="F669" s="28">
        <f>F678+F685+F701+F708+F715+F722+F729+F736+F743+F750+F757+F764</f>
        <v>0</v>
      </c>
      <c r="G669" s="28">
        <f>G678+G685+G701+G708+G715+G722+G729+G736+G743+G750+G757+G764</f>
        <v>0</v>
      </c>
      <c r="H669" s="28">
        <f t="shared" si="191"/>
        <v>0</v>
      </c>
      <c r="I669" s="28">
        <f>I678+I685+I692+I699</f>
        <v>0</v>
      </c>
      <c r="J669" s="28">
        <f>J678</f>
        <v>0</v>
      </c>
      <c r="K669" s="28">
        <f>K678</f>
        <v>0</v>
      </c>
      <c r="L669" s="384"/>
      <c r="M669" s="309"/>
      <c r="N669" s="388"/>
      <c r="O669" s="388"/>
    </row>
    <row r="670" spans="1:15" ht="15" customHeight="1">
      <c r="A670" s="378" t="s">
        <v>46</v>
      </c>
      <c r="B670" s="378"/>
      <c r="C670" s="28">
        <f>SUM(E670:G670)</f>
        <v>0</v>
      </c>
      <c r="D670" s="113">
        <f aca="true" t="shared" si="194" ref="D670:K670">D671+D672</f>
        <v>110676.164</v>
      </c>
      <c r="E670" s="113">
        <f t="shared" si="194"/>
        <v>0</v>
      </c>
      <c r="F670" s="113">
        <f t="shared" si="194"/>
        <v>0</v>
      </c>
      <c r="G670" s="113">
        <f t="shared" si="194"/>
        <v>0</v>
      </c>
      <c r="H670" s="28">
        <f t="shared" si="191"/>
        <v>23131.43</v>
      </c>
      <c r="I670" s="113">
        <f t="shared" si="194"/>
        <v>23131.43</v>
      </c>
      <c r="J670" s="113">
        <f t="shared" si="194"/>
        <v>0</v>
      </c>
      <c r="K670" s="113">
        <f t="shared" si="194"/>
        <v>0</v>
      </c>
      <c r="L670" s="384"/>
      <c r="M670" s="309"/>
      <c r="N670" s="388"/>
      <c r="O670" s="388"/>
    </row>
    <row r="671" spans="1:15" ht="15.75" customHeight="1">
      <c r="A671" s="323" t="s">
        <v>46</v>
      </c>
      <c r="B671" s="323"/>
      <c r="C671" s="28">
        <f t="shared" si="193"/>
        <v>0</v>
      </c>
      <c r="D671" s="28">
        <f aca="true" t="shared" si="195" ref="D671:G673">D679+D686+D693+D701</f>
        <v>110676.164</v>
      </c>
      <c r="E671" s="28">
        <f t="shared" si="195"/>
        <v>0</v>
      </c>
      <c r="F671" s="28">
        <f t="shared" si="195"/>
        <v>0</v>
      </c>
      <c r="G671" s="28">
        <f t="shared" si="195"/>
        <v>0</v>
      </c>
      <c r="H671" s="28">
        <f t="shared" si="191"/>
        <v>0</v>
      </c>
      <c r="I671" s="28">
        <f>I679+I686+I693</f>
        <v>0</v>
      </c>
      <c r="J671" s="28">
        <f aca="true" t="shared" si="196" ref="J671:K674">J679+J686+J693+J701</f>
        <v>0</v>
      </c>
      <c r="K671" s="28">
        <f t="shared" si="196"/>
        <v>0</v>
      </c>
      <c r="L671" s="384"/>
      <c r="M671" s="309"/>
      <c r="N671" s="388"/>
      <c r="O671" s="388"/>
    </row>
    <row r="672" spans="1:15" ht="15.75" customHeight="1">
      <c r="A672" s="323" t="s">
        <v>46</v>
      </c>
      <c r="B672" s="323"/>
      <c r="C672" s="28">
        <f t="shared" si="193"/>
        <v>0</v>
      </c>
      <c r="D672" s="28">
        <f t="shared" si="195"/>
        <v>0</v>
      </c>
      <c r="E672" s="28">
        <f t="shared" si="195"/>
        <v>0</v>
      </c>
      <c r="F672" s="28">
        <f t="shared" si="195"/>
        <v>0</v>
      </c>
      <c r="G672" s="28">
        <f t="shared" si="195"/>
        <v>0</v>
      </c>
      <c r="H672" s="28">
        <f t="shared" si="191"/>
        <v>23131.43</v>
      </c>
      <c r="I672" s="28">
        <f>I701</f>
        <v>23131.43</v>
      </c>
      <c r="J672" s="28">
        <f t="shared" si="196"/>
        <v>0</v>
      </c>
      <c r="K672" s="28">
        <f t="shared" si="196"/>
        <v>0</v>
      </c>
      <c r="L672" s="384"/>
      <c r="M672" s="309"/>
      <c r="N672" s="388"/>
      <c r="O672" s="388"/>
    </row>
    <row r="673" spans="1:15" ht="15.75" customHeight="1">
      <c r="A673" s="323" t="s">
        <v>47</v>
      </c>
      <c r="B673" s="323"/>
      <c r="C673" s="28">
        <f t="shared" si="193"/>
        <v>0</v>
      </c>
      <c r="D673" s="28">
        <f t="shared" si="195"/>
        <v>0</v>
      </c>
      <c r="E673" s="28">
        <f t="shared" si="195"/>
        <v>0</v>
      </c>
      <c r="F673" s="28">
        <f t="shared" si="195"/>
        <v>0</v>
      </c>
      <c r="G673" s="28">
        <f t="shared" si="195"/>
        <v>0</v>
      </c>
      <c r="H673" s="28">
        <f t="shared" si="191"/>
        <v>0</v>
      </c>
      <c r="I673" s="28">
        <f>I681+I688+I695+I703</f>
        <v>0</v>
      </c>
      <c r="J673" s="28">
        <f t="shared" si="196"/>
        <v>0</v>
      </c>
      <c r="K673" s="28">
        <f t="shared" si="196"/>
        <v>0</v>
      </c>
      <c r="L673" s="384"/>
      <c r="M673" s="309"/>
      <c r="N673" s="388"/>
      <c r="O673" s="388"/>
    </row>
    <row r="674" spans="1:15" ht="10.5" customHeight="1">
      <c r="A674" s="323" t="s">
        <v>48</v>
      </c>
      <c r="B674" s="323"/>
      <c r="C674" s="28">
        <f t="shared" si="193"/>
        <v>200396.33798</v>
      </c>
      <c r="D674" s="28">
        <v>0</v>
      </c>
      <c r="E674" s="28">
        <f aca="true" t="shared" si="197" ref="E674:G675">E681+E688+E704+E711+E718+E725+E732+E739+E746+E753+E760</f>
        <v>11475.01893</v>
      </c>
      <c r="F674" s="28">
        <f t="shared" si="197"/>
        <v>3718.43605</v>
      </c>
      <c r="G674" s="28">
        <f t="shared" si="197"/>
        <v>185202.883</v>
      </c>
      <c r="H674" s="28">
        <f t="shared" si="191"/>
        <v>0</v>
      </c>
      <c r="I674" s="28">
        <f>I682+I689+I696+I704</f>
        <v>0</v>
      </c>
      <c r="J674" s="28">
        <f t="shared" si="196"/>
        <v>0</v>
      </c>
      <c r="K674" s="28">
        <f t="shared" si="196"/>
        <v>0</v>
      </c>
      <c r="L674" s="384"/>
      <c r="M674" s="309"/>
      <c r="N674" s="388"/>
      <c r="O674" s="388"/>
    </row>
    <row r="675" spans="1:15" ht="13.5" customHeight="1">
      <c r="A675" s="323" t="s">
        <v>49</v>
      </c>
      <c r="B675" s="323"/>
      <c r="C675" s="28">
        <f t="shared" si="193"/>
        <v>0</v>
      </c>
      <c r="D675" s="28">
        <v>0</v>
      </c>
      <c r="E675" s="28">
        <f t="shared" si="197"/>
        <v>0</v>
      </c>
      <c r="F675" s="28">
        <f t="shared" si="197"/>
        <v>0</v>
      </c>
      <c r="G675" s="28">
        <f t="shared" si="197"/>
        <v>0</v>
      </c>
      <c r="H675" s="28">
        <f t="shared" si="191"/>
        <v>0</v>
      </c>
      <c r="I675" s="28">
        <f>I682+I689+I705+I712+I719+I726+I733+I740+I747+I754+I761</f>
        <v>0</v>
      </c>
      <c r="J675" s="28">
        <f>J682+J689+J705+J712+J719+J726+J733+J740+J747+J754+J761</f>
        <v>0</v>
      </c>
      <c r="K675" s="28">
        <f>K682+K689+K705+K712+K719+K726+K733+K740+K747+K754+K761</f>
        <v>0</v>
      </c>
      <c r="L675" s="385"/>
      <c r="M675" s="310"/>
      <c r="N675" s="389"/>
      <c r="O675" s="389"/>
    </row>
    <row r="676" spans="1:15" ht="27.75" customHeight="1">
      <c r="A676" s="329" t="s">
        <v>169</v>
      </c>
      <c r="B676" s="330"/>
      <c r="C676" s="330"/>
      <c r="D676" s="330"/>
      <c r="E676" s="330"/>
      <c r="F676" s="330"/>
      <c r="G676" s="331"/>
      <c r="H676" s="28"/>
      <c r="I676" s="28"/>
      <c r="J676" s="28"/>
      <c r="K676" s="28"/>
      <c r="L676" s="386" t="s">
        <v>218</v>
      </c>
      <c r="M676" s="348" t="s">
        <v>170</v>
      </c>
      <c r="N676" s="315"/>
      <c r="O676" s="315"/>
    </row>
    <row r="677" spans="1:15" ht="15" customHeight="1">
      <c r="A677" s="323" t="s">
        <v>52</v>
      </c>
      <c r="B677" s="323"/>
      <c r="C677" s="28">
        <f aca="true" t="shared" si="198" ref="C677:C682">SUM(E677:G677)</f>
        <v>0</v>
      </c>
      <c r="D677" s="28">
        <f>SUM(D678:D682)</f>
        <v>109500</v>
      </c>
      <c r="E677" s="28">
        <f>SUM(E678:E682)</f>
        <v>0</v>
      </c>
      <c r="F677" s="28">
        <f>SUM(F678:F682)</f>
        <v>0</v>
      </c>
      <c r="G677" s="28">
        <f>SUM(G678:G682)</f>
        <v>0</v>
      </c>
      <c r="H677" s="28">
        <f t="shared" si="191"/>
        <v>0</v>
      </c>
      <c r="I677" s="116">
        <f>I678+I679+I680+I681+I682</f>
        <v>0</v>
      </c>
      <c r="J677" s="116">
        <f>J678+J679+J680+J681+J682</f>
        <v>0</v>
      </c>
      <c r="K677" s="116">
        <f>K678+K679+K680+K681+K682</f>
        <v>0</v>
      </c>
      <c r="L677" s="386"/>
      <c r="M677" s="348"/>
      <c r="N677" s="315"/>
      <c r="O677" s="315"/>
    </row>
    <row r="678" spans="1:15" ht="15" customHeight="1">
      <c r="A678" s="323" t="s">
        <v>45</v>
      </c>
      <c r="B678" s="323"/>
      <c r="C678" s="28">
        <f t="shared" si="198"/>
        <v>0</v>
      </c>
      <c r="D678" s="28">
        <v>0</v>
      </c>
      <c r="E678" s="28">
        <v>0</v>
      </c>
      <c r="F678" s="28">
        <v>0</v>
      </c>
      <c r="G678" s="28">
        <v>0</v>
      </c>
      <c r="H678" s="28">
        <f t="shared" si="191"/>
        <v>0</v>
      </c>
      <c r="I678" s="116">
        <v>0</v>
      </c>
      <c r="J678" s="116">
        <v>0</v>
      </c>
      <c r="K678" s="116">
        <v>0</v>
      </c>
      <c r="L678" s="386"/>
      <c r="M678" s="348"/>
      <c r="N678" s="315"/>
      <c r="O678" s="315"/>
    </row>
    <row r="679" spans="1:15" ht="15" customHeight="1">
      <c r="A679" s="323" t="s">
        <v>46</v>
      </c>
      <c r="B679" s="323"/>
      <c r="C679" s="28">
        <f t="shared" si="198"/>
        <v>0</v>
      </c>
      <c r="D679" s="28">
        <v>109500</v>
      </c>
      <c r="E679" s="28">
        <v>0</v>
      </c>
      <c r="F679" s="28">
        <v>0</v>
      </c>
      <c r="G679" s="28">
        <v>0</v>
      </c>
      <c r="H679" s="28">
        <f t="shared" si="191"/>
        <v>0</v>
      </c>
      <c r="I679" s="116">
        <v>0</v>
      </c>
      <c r="J679" s="116">
        <v>0</v>
      </c>
      <c r="K679" s="116">
        <v>0</v>
      </c>
      <c r="L679" s="386"/>
      <c r="M679" s="348"/>
      <c r="N679" s="315"/>
      <c r="O679" s="315"/>
    </row>
    <row r="680" spans="1:15" ht="15" customHeight="1">
      <c r="A680" s="323" t="s">
        <v>47</v>
      </c>
      <c r="B680" s="323"/>
      <c r="C680" s="28">
        <f t="shared" si="198"/>
        <v>0</v>
      </c>
      <c r="D680" s="28">
        <v>0</v>
      </c>
      <c r="E680" s="28">
        <v>0</v>
      </c>
      <c r="F680" s="28">
        <v>0</v>
      </c>
      <c r="G680" s="28">
        <v>0</v>
      </c>
      <c r="H680" s="28">
        <f t="shared" si="191"/>
        <v>0</v>
      </c>
      <c r="I680" s="116">
        <v>0</v>
      </c>
      <c r="J680" s="116">
        <v>0</v>
      </c>
      <c r="K680" s="116">
        <v>0</v>
      </c>
      <c r="L680" s="386"/>
      <c r="M680" s="348"/>
      <c r="N680" s="315"/>
      <c r="O680" s="315"/>
    </row>
    <row r="681" spans="1:15" ht="15" customHeight="1">
      <c r="A681" s="323" t="s">
        <v>48</v>
      </c>
      <c r="B681" s="323"/>
      <c r="C681" s="28">
        <f t="shared" si="198"/>
        <v>0</v>
      </c>
      <c r="D681" s="28">
        <v>0</v>
      </c>
      <c r="E681" s="28">
        <v>0</v>
      </c>
      <c r="F681" s="28">
        <v>0</v>
      </c>
      <c r="G681" s="28">
        <v>0</v>
      </c>
      <c r="H681" s="28">
        <f t="shared" si="191"/>
        <v>0</v>
      </c>
      <c r="I681" s="116">
        <v>0</v>
      </c>
      <c r="J681" s="116">
        <v>0</v>
      </c>
      <c r="K681" s="116">
        <v>0</v>
      </c>
      <c r="L681" s="386"/>
      <c r="M681" s="348"/>
      <c r="N681" s="315"/>
      <c r="O681" s="315"/>
    </row>
    <row r="682" spans="1:15" ht="15" customHeight="1">
      <c r="A682" s="323" t="s">
        <v>49</v>
      </c>
      <c r="B682" s="323"/>
      <c r="C682" s="28">
        <f t="shared" si="198"/>
        <v>0</v>
      </c>
      <c r="D682" s="28">
        <v>0</v>
      </c>
      <c r="E682" s="28">
        <v>0</v>
      </c>
      <c r="F682" s="28">
        <v>0</v>
      </c>
      <c r="G682" s="28">
        <v>0</v>
      </c>
      <c r="H682" s="28">
        <f t="shared" si="191"/>
        <v>0</v>
      </c>
      <c r="I682" s="116">
        <v>0</v>
      </c>
      <c r="J682" s="116">
        <v>0</v>
      </c>
      <c r="K682" s="116">
        <v>0</v>
      </c>
      <c r="L682" s="386"/>
      <c r="M682" s="348"/>
      <c r="N682" s="315"/>
      <c r="O682" s="315"/>
    </row>
    <row r="683" spans="1:15" ht="39" customHeight="1">
      <c r="A683" s="329" t="s">
        <v>205</v>
      </c>
      <c r="B683" s="330"/>
      <c r="C683" s="330"/>
      <c r="D683" s="330"/>
      <c r="E683" s="330"/>
      <c r="F683" s="330"/>
      <c r="G683" s="331"/>
      <c r="H683" s="28"/>
      <c r="I683" s="28"/>
      <c r="J683" s="28"/>
      <c r="K683" s="28"/>
      <c r="L683" s="348" t="s">
        <v>218</v>
      </c>
      <c r="M683" s="348" t="s">
        <v>170</v>
      </c>
      <c r="N683" s="315"/>
      <c r="O683" s="315"/>
    </row>
    <row r="684" spans="1:15" ht="15" customHeight="1">
      <c r="A684" s="323" t="s">
        <v>52</v>
      </c>
      <c r="B684" s="323"/>
      <c r="C684" s="28">
        <f aca="true" t="shared" si="199" ref="C684:C689">SUM(E684:G684)</f>
        <v>0</v>
      </c>
      <c r="D684" s="28">
        <f>SUM(D685:D689)</f>
        <v>1176.164</v>
      </c>
      <c r="E684" s="28">
        <f>SUM(E685:E689)</f>
        <v>0</v>
      </c>
      <c r="F684" s="28">
        <f>SUM(F685:F689)</f>
        <v>0</v>
      </c>
      <c r="G684" s="28">
        <f>SUM(G685:G689)</f>
        <v>0</v>
      </c>
      <c r="H684" s="28">
        <f t="shared" si="191"/>
        <v>0</v>
      </c>
      <c r="I684" s="116">
        <f>I685+I686+I687+I688+I689</f>
        <v>0</v>
      </c>
      <c r="J684" s="116">
        <f>J685+J686+J687+J688+J689</f>
        <v>0</v>
      </c>
      <c r="K684" s="116">
        <f>K685+K686+K687+K688+K689</f>
        <v>0</v>
      </c>
      <c r="L684" s="348"/>
      <c r="M684" s="348"/>
      <c r="N684" s="315"/>
      <c r="O684" s="315"/>
    </row>
    <row r="685" spans="1:15" ht="15" customHeight="1">
      <c r="A685" s="323" t="s">
        <v>45</v>
      </c>
      <c r="B685" s="323"/>
      <c r="C685" s="28">
        <f t="shared" si="199"/>
        <v>0</v>
      </c>
      <c r="D685" s="28">
        <v>0</v>
      </c>
      <c r="E685" s="28">
        <v>0</v>
      </c>
      <c r="F685" s="28">
        <v>0</v>
      </c>
      <c r="G685" s="28">
        <v>0</v>
      </c>
      <c r="H685" s="28">
        <f t="shared" si="191"/>
        <v>0</v>
      </c>
      <c r="I685" s="116">
        <v>0</v>
      </c>
      <c r="J685" s="116">
        <v>0</v>
      </c>
      <c r="K685" s="116">
        <v>0</v>
      </c>
      <c r="L685" s="348"/>
      <c r="M685" s="348"/>
      <c r="N685" s="315"/>
      <c r="O685" s="315"/>
    </row>
    <row r="686" spans="1:15" ht="15" customHeight="1">
      <c r="A686" s="323" t="s">
        <v>46</v>
      </c>
      <c r="B686" s="323"/>
      <c r="C686" s="28">
        <f t="shared" si="199"/>
        <v>0</v>
      </c>
      <c r="D686" s="28">
        <v>1176.164</v>
      </c>
      <c r="E686" s="28">
        <v>0</v>
      </c>
      <c r="F686" s="28">
        <v>0</v>
      </c>
      <c r="G686" s="28">
        <v>0</v>
      </c>
      <c r="H686" s="28">
        <f t="shared" si="191"/>
        <v>0</v>
      </c>
      <c r="I686" s="116">
        <v>0</v>
      </c>
      <c r="J686" s="116">
        <v>0</v>
      </c>
      <c r="K686" s="116">
        <v>0</v>
      </c>
      <c r="L686" s="348"/>
      <c r="M686" s="348"/>
      <c r="N686" s="315"/>
      <c r="O686" s="315"/>
    </row>
    <row r="687" spans="1:15" ht="15" customHeight="1">
      <c r="A687" s="323" t="s">
        <v>47</v>
      </c>
      <c r="B687" s="323"/>
      <c r="C687" s="28">
        <f t="shared" si="199"/>
        <v>0</v>
      </c>
      <c r="D687" s="28">
        <v>0</v>
      </c>
      <c r="E687" s="28">
        <v>0</v>
      </c>
      <c r="F687" s="28">
        <v>0</v>
      </c>
      <c r="G687" s="28">
        <v>0</v>
      </c>
      <c r="H687" s="28">
        <f t="shared" si="191"/>
        <v>0</v>
      </c>
      <c r="I687" s="116">
        <v>0</v>
      </c>
      <c r="J687" s="116">
        <v>0</v>
      </c>
      <c r="K687" s="116">
        <v>0</v>
      </c>
      <c r="L687" s="348"/>
      <c r="M687" s="348"/>
      <c r="N687" s="315"/>
      <c r="O687" s="315"/>
    </row>
    <row r="688" spans="1:15" ht="15" customHeight="1">
      <c r="A688" s="323" t="s">
        <v>48</v>
      </c>
      <c r="B688" s="323"/>
      <c r="C688" s="28">
        <f t="shared" si="199"/>
        <v>0</v>
      </c>
      <c r="D688" s="28">
        <v>0</v>
      </c>
      <c r="E688" s="28">
        <v>0</v>
      </c>
      <c r="F688" s="28">
        <v>0</v>
      </c>
      <c r="G688" s="28">
        <v>0</v>
      </c>
      <c r="H688" s="28">
        <f t="shared" si="191"/>
        <v>0</v>
      </c>
      <c r="I688" s="116">
        <v>0</v>
      </c>
      <c r="J688" s="116">
        <v>0</v>
      </c>
      <c r="K688" s="116">
        <v>0</v>
      </c>
      <c r="L688" s="348"/>
      <c r="M688" s="348"/>
      <c r="N688" s="315"/>
      <c r="O688" s="315"/>
    </row>
    <row r="689" spans="1:15" ht="15" customHeight="1">
      <c r="A689" s="323" t="s">
        <v>49</v>
      </c>
      <c r="B689" s="323"/>
      <c r="C689" s="28">
        <f t="shared" si="199"/>
        <v>0</v>
      </c>
      <c r="D689" s="28">
        <v>0</v>
      </c>
      <c r="E689" s="28">
        <v>0</v>
      </c>
      <c r="F689" s="28">
        <v>0</v>
      </c>
      <c r="G689" s="28">
        <v>0</v>
      </c>
      <c r="H689" s="28">
        <f t="shared" si="191"/>
        <v>0</v>
      </c>
      <c r="I689" s="116">
        <v>0</v>
      </c>
      <c r="J689" s="116">
        <v>0</v>
      </c>
      <c r="K689" s="116">
        <v>0</v>
      </c>
      <c r="L689" s="348"/>
      <c r="M689" s="348"/>
      <c r="N689" s="315"/>
      <c r="O689" s="315"/>
    </row>
    <row r="690" spans="1:15" ht="38.25" customHeight="1">
      <c r="A690" s="329" t="s">
        <v>207</v>
      </c>
      <c r="B690" s="330"/>
      <c r="C690" s="330"/>
      <c r="D690" s="330"/>
      <c r="E690" s="330"/>
      <c r="F690" s="330"/>
      <c r="G690" s="331"/>
      <c r="H690" s="28"/>
      <c r="I690" s="28"/>
      <c r="J690" s="28"/>
      <c r="K690" s="28"/>
      <c r="L690" s="348" t="s">
        <v>218</v>
      </c>
      <c r="M690" s="348" t="s">
        <v>170</v>
      </c>
      <c r="N690" s="315"/>
      <c r="O690" s="315"/>
    </row>
    <row r="691" spans="1:15" ht="15" customHeight="1">
      <c r="A691" s="323" t="s">
        <v>52</v>
      </c>
      <c r="B691" s="323"/>
      <c r="C691" s="28">
        <f aca="true" t="shared" si="200" ref="C691:C696">SUM(E691:G691)</f>
        <v>0</v>
      </c>
      <c r="D691" s="28">
        <f>SUM(D692:D696)</f>
        <v>0</v>
      </c>
      <c r="E691" s="28">
        <f>SUM(E692:E696)</f>
        <v>0</v>
      </c>
      <c r="F691" s="28">
        <f>SUM(F692:F696)</f>
        <v>0</v>
      </c>
      <c r="G691" s="28">
        <f>SUM(G692:G696)</f>
        <v>0</v>
      </c>
      <c r="H691" s="28">
        <f t="shared" si="191"/>
        <v>0</v>
      </c>
      <c r="I691" s="116">
        <f>I692+I693+I694+I695+I696</f>
        <v>0</v>
      </c>
      <c r="J691" s="116">
        <f>J692+J693+J694+J695+J696</f>
        <v>0</v>
      </c>
      <c r="K691" s="116">
        <f>K692+K693+K694+K695+K696</f>
        <v>0</v>
      </c>
      <c r="L691" s="348"/>
      <c r="M691" s="348"/>
      <c r="N691" s="315"/>
      <c r="O691" s="315"/>
    </row>
    <row r="692" spans="1:15" ht="16.5" customHeight="1">
      <c r="A692" s="323" t="s">
        <v>45</v>
      </c>
      <c r="B692" s="323"/>
      <c r="C692" s="28">
        <f t="shared" si="200"/>
        <v>0</v>
      </c>
      <c r="D692" s="28">
        <v>0</v>
      </c>
      <c r="E692" s="28">
        <v>0</v>
      </c>
      <c r="F692" s="28">
        <v>0</v>
      </c>
      <c r="G692" s="28">
        <v>0</v>
      </c>
      <c r="H692" s="28">
        <f t="shared" si="191"/>
        <v>0</v>
      </c>
      <c r="I692" s="116">
        <v>0</v>
      </c>
      <c r="J692" s="116">
        <v>0</v>
      </c>
      <c r="K692" s="116">
        <v>0</v>
      </c>
      <c r="L692" s="348"/>
      <c r="M692" s="348"/>
      <c r="N692" s="315"/>
      <c r="O692" s="315"/>
    </row>
    <row r="693" spans="1:15" ht="15" customHeight="1">
      <c r="A693" s="323" t="s">
        <v>46</v>
      </c>
      <c r="B693" s="323"/>
      <c r="C693" s="28">
        <f t="shared" si="200"/>
        <v>0</v>
      </c>
      <c r="D693" s="28">
        <v>0</v>
      </c>
      <c r="E693" s="28">
        <v>0</v>
      </c>
      <c r="F693" s="28">
        <v>0</v>
      </c>
      <c r="G693" s="28">
        <v>0</v>
      </c>
      <c r="H693" s="28">
        <f t="shared" si="191"/>
        <v>0</v>
      </c>
      <c r="I693" s="116">
        <v>0</v>
      </c>
      <c r="J693" s="116">
        <v>0</v>
      </c>
      <c r="K693" s="116">
        <v>0</v>
      </c>
      <c r="L693" s="348"/>
      <c r="M693" s="348"/>
      <c r="N693" s="315"/>
      <c r="O693" s="315"/>
    </row>
    <row r="694" spans="1:15" ht="15" customHeight="1">
      <c r="A694" s="323" t="s">
        <v>47</v>
      </c>
      <c r="B694" s="323"/>
      <c r="C694" s="28">
        <f t="shared" si="200"/>
        <v>0</v>
      </c>
      <c r="D694" s="28">
        <v>0</v>
      </c>
      <c r="E694" s="28">
        <v>0</v>
      </c>
      <c r="F694" s="28">
        <v>0</v>
      </c>
      <c r="G694" s="28">
        <v>0</v>
      </c>
      <c r="H694" s="28">
        <f t="shared" si="191"/>
        <v>0</v>
      </c>
      <c r="I694" s="116">
        <v>0</v>
      </c>
      <c r="J694" s="116">
        <v>0</v>
      </c>
      <c r="K694" s="116">
        <v>0</v>
      </c>
      <c r="L694" s="348"/>
      <c r="M694" s="348"/>
      <c r="N694" s="315"/>
      <c r="O694" s="315"/>
    </row>
    <row r="695" spans="1:15" ht="15" customHeight="1">
      <c r="A695" s="323" t="s">
        <v>48</v>
      </c>
      <c r="B695" s="323"/>
      <c r="C695" s="28">
        <f t="shared" si="200"/>
        <v>0</v>
      </c>
      <c r="D695" s="28">
        <v>0</v>
      </c>
      <c r="E695" s="28">
        <v>0</v>
      </c>
      <c r="F695" s="28">
        <v>0</v>
      </c>
      <c r="G695" s="28">
        <v>0</v>
      </c>
      <c r="H695" s="28">
        <f t="shared" si="191"/>
        <v>0</v>
      </c>
      <c r="I695" s="116">
        <v>0</v>
      </c>
      <c r="J695" s="116">
        <v>0</v>
      </c>
      <c r="K695" s="116">
        <v>0</v>
      </c>
      <c r="L695" s="348"/>
      <c r="M695" s="348"/>
      <c r="N695" s="315"/>
      <c r="O695" s="315"/>
    </row>
    <row r="696" spans="1:15" ht="15" customHeight="1">
      <c r="A696" s="323" t="s">
        <v>49</v>
      </c>
      <c r="B696" s="323"/>
      <c r="C696" s="28">
        <f t="shared" si="200"/>
        <v>0</v>
      </c>
      <c r="D696" s="28">
        <v>0</v>
      </c>
      <c r="E696" s="28">
        <v>0</v>
      </c>
      <c r="F696" s="28">
        <v>0</v>
      </c>
      <c r="G696" s="28">
        <v>0</v>
      </c>
      <c r="H696" s="28">
        <f t="shared" si="191"/>
        <v>0</v>
      </c>
      <c r="I696" s="116">
        <v>0</v>
      </c>
      <c r="J696" s="116">
        <v>0</v>
      </c>
      <c r="K696" s="116">
        <v>0</v>
      </c>
      <c r="L696" s="348"/>
      <c r="M696" s="348"/>
      <c r="N696" s="315"/>
      <c r="O696" s="315"/>
    </row>
    <row r="697" spans="1:15" ht="69.75" customHeight="1">
      <c r="A697" s="443" t="s">
        <v>280</v>
      </c>
      <c r="B697" s="472"/>
      <c r="C697" s="472"/>
      <c r="D697" s="472"/>
      <c r="E697" s="472"/>
      <c r="F697" s="444"/>
      <c r="G697" s="117"/>
      <c r="H697" s="28"/>
      <c r="I697" s="117"/>
      <c r="J697" s="117"/>
      <c r="K697" s="117"/>
      <c r="L697" s="348" t="s">
        <v>206</v>
      </c>
      <c r="M697" s="348" t="s">
        <v>170</v>
      </c>
      <c r="N697" s="315"/>
      <c r="O697" s="315"/>
    </row>
    <row r="698" spans="1:15" ht="15" customHeight="1">
      <c r="A698" s="323" t="s">
        <v>52</v>
      </c>
      <c r="B698" s="323"/>
      <c r="C698" s="28">
        <f>SUM(E698:G698)</f>
        <v>0</v>
      </c>
      <c r="D698" s="28">
        <f>SUM(D701:D706)</f>
        <v>0</v>
      </c>
      <c r="E698" s="28">
        <f>SUM(E701:E706)</f>
        <v>0</v>
      </c>
      <c r="F698" s="28">
        <f>SUM(F701:F706)</f>
        <v>0</v>
      </c>
      <c r="G698" s="28">
        <f>SUM(G701:G706)</f>
        <v>0</v>
      </c>
      <c r="H698" s="28">
        <f t="shared" si="191"/>
        <v>23131.43</v>
      </c>
      <c r="I698" s="116">
        <f>I701+I702+I703+I704+I706</f>
        <v>23131.43</v>
      </c>
      <c r="J698" s="116">
        <f>J701+J702+J703+J704+J706</f>
        <v>0</v>
      </c>
      <c r="K698" s="116">
        <f>K701+K702+K703+K704+K706</f>
        <v>0</v>
      </c>
      <c r="L698" s="348"/>
      <c r="M698" s="348"/>
      <c r="N698" s="315"/>
      <c r="O698" s="315"/>
    </row>
    <row r="699" spans="1:15" ht="15" customHeight="1">
      <c r="A699" s="443" t="s">
        <v>45</v>
      </c>
      <c r="B699" s="444"/>
      <c r="C699" s="28">
        <f aca="true" t="shared" si="201" ref="C699:C704">SUM(E699:G699)</f>
        <v>0</v>
      </c>
      <c r="D699" s="28"/>
      <c r="E699" s="28"/>
      <c r="F699" s="28"/>
      <c r="G699" s="28"/>
      <c r="H699" s="28">
        <f t="shared" si="191"/>
        <v>0</v>
      </c>
      <c r="I699" s="116">
        <v>0</v>
      </c>
      <c r="J699" s="116">
        <v>0</v>
      </c>
      <c r="K699" s="116">
        <v>0</v>
      </c>
      <c r="L699" s="348"/>
      <c r="M699" s="348"/>
      <c r="N699" s="315"/>
      <c r="O699" s="315"/>
    </row>
    <row r="700" spans="1:15" ht="15" customHeight="1">
      <c r="A700" s="323" t="s">
        <v>46</v>
      </c>
      <c r="B700" s="323"/>
      <c r="C700" s="28">
        <f t="shared" si="201"/>
        <v>0</v>
      </c>
      <c r="D700" s="116">
        <v>0</v>
      </c>
      <c r="E700" s="116">
        <v>0</v>
      </c>
      <c r="F700" s="116">
        <v>0</v>
      </c>
      <c r="G700" s="116">
        <v>0</v>
      </c>
      <c r="H700" s="28">
        <f t="shared" si="191"/>
        <v>0</v>
      </c>
      <c r="I700" s="116">
        <v>0</v>
      </c>
      <c r="J700" s="116">
        <v>0</v>
      </c>
      <c r="K700" s="116">
        <v>0</v>
      </c>
      <c r="L700" s="348"/>
      <c r="M700" s="348"/>
      <c r="N700" s="315"/>
      <c r="O700" s="315"/>
    </row>
    <row r="701" spans="1:15" ht="15" customHeight="1">
      <c r="A701" s="323" t="s">
        <v>46</v>
      </c>
      <c r="B701" s="323"/>
      <c r="C701" s="28">
        <f t="shared" si="201"/>
        <v>0</v>
      </c>
      <c r="D701" s="28">
        <v>0</v>
      </c>
      <c r="E701" s="28">
        <v>0</v>
      </c>
      <c r="F701" s="28">
        <v>0</v>
      </c>
      <c r="G701" s="28">
        <v>0</v>
      </c>
      <c r="H701" s="28">
        <f t="shared" si="191"/>
        <v>23131.43</v>
      </c>
      <c r="I701" s="116">
        <v>23131.43</v>
      </c>
      <c r="J701" s="116">
        <v>0</v>
      </c>
      <c r="K701" s="116">
        <v>0</v>
      </c>
      <c r="L701" s="348"/>
      <c r="M701" s="348"/>
      <c r="N701" s="315"/>
      <c r="O701" s="315"/>
    </row>
    <row r="702" spans="1:15" ht="15" customHeight="1">
      <c r="A702" s="323" t="s">
        <v>47</v>
      </c>
      <c r="B702" s="323"/>
      <c r="C702" s="28">
        <f t="shared" si="201"/>
        <v>0</v>
      </c>
      <c r="D702" s="28">
        <v>0</v>
      </c>
      <c r="E702" s="28">
        <v>0</v>
      </c>
      <c r="F702" s="28">
        <v>0</v>
      </c>
      <c r="G702" s="28">
        <v>0</v>
      </c>
      <c r="H702" s="28">
        <f t="shared" si="191"/>
        <v>0</v>
      </c>
      <c r="I702" s="116">
        <v>0</v>
      </c>
      <c r="J702" s="116">
        <v>0</v>
      </c>
      <c r="K702" s="116">
        <v>0</v>
      </c>
      <c r="L702" s="348"/>
      <c r="M702" s="348"/>
      <c r="N702" s="315"/>
      <c r="O702" s="315"/>
    </row>
    <row r="703" spans="1:15" ht="15" customHeight="1">
      <c r="A703" s="323" t="s">
        <v>48</v>
      </c>
      <c r="B703" s="323"/>
      <c r="C703" s="28">
        <f t="shared" si="201"/>
        <v>0</v>
      </c>
      <c r="D703" s="28">
        <v>0</v>
      </c>
      <c r="E703" s="28">
        <v>0</v>
      </c>
      <c r="F703" s="28">
        <v>0</v>
      </c>
      <c r="G703" s="28">
        <v>0</v>
      </c>
      <c r="H703" s="28">
        <f t="shared" si="191"/>
        <v>0</v>
      </c>
      <c r="I703" s="116">
        <v>0</v>
      </c>
      <c r="J703" s="116">
        <v>0</v>
      </c>
      <c r="K703" s="116">
        <v>0</v>
      </c>
      <c r="L703" s="348"/>
      <c r="M703" s="348"/>
      <c r="N703" s="315"/>
      <c r="O703" s="315"/>
    </row>
    <row r="704" spans="1:15" ht="15" customHeight="1">
      <c r="A704" s="323" t="s">
        <v>49</v>
      </c>
      <c r="B704" s="323"/>
      <c r="C704" s="28">
        <f t="shared" si="201"/>
        <v>0</v>
      </c>
      <c r="D704" s="28">
        <v>0</v>
      </c>
      <c r="E704" s="28">
        <v>0</v>
      </c>
      <c r="F704" s="28">
        <v>0</v>
      </c>
      <c r="G704" s="28">
        <v>0</v>
      </c>
      <c r="H704" s="28">
        <f t="shared" si="191"/>
        <v>0</v>
      </c>
      <c r="I704" s="116">
        <v>0</v>
      </c>
      <c r="J704" s="116">
        <v>0</v>
      </c>
      <c r="K704" s="116">
        <v>0</v>
      </c>
      <c r="L704" s="348"/>
      <c r="M704" s="348"/>
      <c r="N704" s="315"/>
      <c r="O704" s="315"/>
    </row>
    <row r="705" spans="1:15" s="16" customFormat="1" ht="83.25" customHeight="1">
      <c r="A705" s="409" t="s">
        <v>392</v>
      </c>
      <c r="B705" s="410"/>
      <c r="C705" s="28"/>
      <c r="D705" s="28"/>
      <c r="E705" s="28"/>
      <c r="F705" s="28"/>
      <c r="G705" s="28"/>
      <c r="H705" s="28"/>
      <c r="I705" s="116"/>
      <c r="J705" s="116"/>
      <c r="K705" s="116"/>
      <c r="L705" s="17"/>
      <c r="M705" s="17"/>
      <c r="N705" s="115"/>
      <c r="O705" s="214" t="s">
        <v>251</v>
      </c>
    </row>
    <row r="706" spans="1:15" ht="25.5" customHeight="1">
      <c r="A706" s="396" t="s">
        <v>18</v>
      </c>
      <c r="B706" s="397"/>
      <c r="C706" s="170"/>
      <c r="D706" s="170"/>
      <c r="E706" s="170"/>
      <c r="F706" s="170"/>
      <c r="G706" s="170"/>
      <c r="H706" s="28"/>
      <c r="I706" s="170"/>
      <c r="J706" s="170"/>
      <c r="K706" s="171"/>
      <c r="L706" s="348"/>
      <c r="M706" s="348" t="s">
        <v>85</v>
      </c>
      <c r="N706" s="350" t="s">
        <v>374</v>
      </c>
      <c r="O706" s="350" t="s">
        <v>359</v>
      </c>
    </row>
    <row r="707" spans="1:15" ht="15" customHeight="1">
      <c r="A707" s="323" t="s">
        <v>52</v>
      </c>
      <c r="B707" s="323"/>
      <c r="C707" s="28">
        <f>SUM(C708:C714)</f>
        <v>1692843.55799</v>
      </c>
      <c r="D707" s="28">
        <f>SUM(D708:D714)</f>
        <v>36189.82653</v>
      </c>
      <c r="E707" s="28">
        <f aca="true" t="shared" si="202" ref="E707:K707">E708+E709+E712+E713+E714</f>
        <v>46428.40991</v>
      </c>
      <c r="F707" s="28">
        <f t="shared" si="202"/>
        <v>42645.119999999995</v>
      </c>
      <c r="G707" s="28">
        <f t="shared" si="202"/>
        <v>227650.719</v>
      </c>
      <c r="H707" s="28">
        <f t="shared" si="191"/>
        <v>255801.30840999997</v>
      </c>
      <c r="I707" s="28">
        <f t="shared" si="202"/>
        <v>176882.65772999998</v>
      </c>
      <c r="J707" s="28">
        <f t="shared" si="202"/>
        <v>38970.85484</v>
      </c>
      <c r="K707" s="28">
        <f t="shared" si="202"/>
        <v>39947.79584</v>
      </c>
      <c r="L707" s="348"/>
      <c r="M707" s="348"/>
      <c r="N707" s="350"/>
      <c r="O707" s="350"/>
    </row>
    <row r="708" spans="1:15" ht="15" customHeight="1">
      <c r="A708" s="323" t="s">
        <v>45</v>
      </c>
      <c r="B708" s="323"/>
      <c r="C708" s="28">
        <f aca="true" t="shared" si="203" ref="C708:C714">SUM(E708:G708)</f>
        <v>0</v>
      </c>
      <c r="D708" s="28">
        <f>D717+D823+D936+D951+D1022</f>
        <v>0</v>
      </c>
      <c r="E708" s="28">
        <f>E717+E823+E936+E951+E1022</f>
        <v>0</v>
      </c>
      <c r="F708" s="28">
        <f>F717+F823+F936+F951+F1022</f>
        <v>0</v>
      </c>
      <c r="G708" s="28">
        <f>G717+G823+G936+G951+G1022</f>
        <v>0</v>
      </c>
      <c r="H708" s="28">
        <f t="shared" si="191"/>
        <v>0</v>
      </c>
      <c r="I708" s="28">
        <f>I717+I823+I936+I951+I1022</f>
        <v>0</v>
      </c>
      <c r="J708" s="28">
        <f>J717+J823+J936+J951+J1022</f>
        <v>0</v>
      </c>
      <c r="K708" s="28">
        <f>K717+K823+K936+K951+K1022</f>
        <v>0</v>
      </c>
      <c r="L708" s="348"/>
      <c r="M708" s="348"/>
      <c r="N708" s="350"/>
      <c r="O708" s="350"/>
    </row>
    <row r="709" spans="1:15" ht="15" customHeight="1">
      <c r="A709" s="378" t="s">
        <v>46</v>
      </c>
      <c r="B709" s="378"/>
      <c r="C709" s="112">
        <f>SUM(D709:K709)</f>
        <v>864516.69226</v>
      </c>
      <c r="D709" s="28">
        <f>D718+D824+D937+D952+D1023</f>
        <v>36189.82653</v>
      </c>
      <c r="E709" s="28">
        <f aca="true" t="shared" si="204" ref="E709:K709">E710+E711</f>
        <v>46428.40991</v>
      </c>
      <c r="F709" s="28">
        <f t="shared" si="204"/>
        <v>42645.119999999995</v>
      </c>
      <c r="G709" s="28">
        <f t="shared" si="204"/>
        <v>227650.719</v>
      </c>
      <c r="H709" s="28">
        <f t="shared" si="191"/>
        <v>255801.30840999997</v>
      </c>
      <c r="I709" s="28">
        <f t="shared" si="204"/>
        <v>176882.65772999998</v>
      </c>
      <c r="J709" s="28">
        <f t="shared" si="204"/>
        <v>38970.85484</v>
      </c>
      <c r="K709" s="28">
        <f t="shared" si="204"/>
        <v>39947.79584</v>
      </c>
      <c r="L709" s="348"/>
      <c r="M709" s="348"/>
      <c r="N709" s="350"/>
      <c r="O709" s="350"/>
    </row>
    <row r="710" spans="1:15" ht="15" customHeight="1">
      <c r="A710" s="323" t="s">
        <v>46</v>
      </c>
      <c r="B710" s="323"/>
      <c r="C710" s="112">
        <f>SUM(D710:K710)</f>
        <v>429238.6027299999</v>
      </c>
      <c r="D710" s="28"/>
      <c r="E710" s="28">
        <f>E718+E824+E937+E952</f>
        <v>37165.40991</v>
      </c>
      <c r="F710" s="28">
        <f>F718+F824+F937+F952</f>
        <v>42645.119999999995</v>
      </c>
      <c r="G710" s="28">
        <f>G718+G824+G937+G952</f>
        <v>44825.456000000006</v>
      </c>
      <c r="H710" s="28">
        <f t="shared" si="191"/>
        <v>152301.30841</v>
      </c>
      <c r="I710" s="28">
        <f>I718+I824+I935+I950</f>
        <v>73382.65772999999</v>
      </c>
      <c r="J710" s="28">
        <f>J718+J824+J935+J950+J1021</f>
        <v>38970.85484</v>
      </c>
      <c r="K710" s="28">
        <f>K718+K824+K935+K950+K1021</f>
        <v>39947.79584</v>
      </c>
      <c r="L710" s="348"/>
      <c r="M710" s="348"/>
      <c r="N710" s="350"/>
      <c r="O710" s="350"/>
    </row>
    <row r="711" spans="1:15" ht="15" customHeight="1">
      <c r="A711" s="323" t="s">
        <v>46</v>
      </c>
      <c r="B711" s="323"/>
      <c r="C711" s="112">
        <f>SUM(D711:K711)</f>
        <v>399088.26300000004</v>
      </c>
      <c r="D711" s="28"/>
      <c r="E711" s="28">
        <f>E1030</f>
        <v>9263</v>
      </c>
      <c r="F711" s="28">
        <f>F1030</f>
        <v>0</v>
      </c>
      <c r="G711" s="28">
        <f>G1030</f>
        <v>182825.263</v>
      </c>
      <c r="H711" s="28">
        <f t="shared" si="191"/>
        <v>103500</v>
      </c>
      <c r="I711" s="28">
        <f>I1021</f>
        <v>103500</v>
      </c>
      <c r="J711" s="28">
        <f>J1021</f>
        <v>0</v>
      </c>
      <c r="K711" s="28">
        <f>K1021</f>
        <v>0</v>
      </c>
      <c r="L711" s="348"/>
      <c r="M711" s="348"/>
      <c r="N711" s="350"/>
      <c r="O711" s="350"/>
    </row>
    <row r="712" spans="1:15" ht="15" customHeight="1">
      <c r="A712" s="323" t="s">
        <v>47</v>
      </c>
      <c r="B712" s="323"/>
      <c r="C712" s="28">
        <f t="shared" si="203"/>
        <v>0</v>
      </c>
      <c r="D712" s="28">
        <f aca="true" t="shared" si="205" ref="D712:G713">D719+D825+D938+D953+D1024</f>
        <v>0</v>
      </c>
      <c r="E712" s="28">
        <f t="shared" si="205"/>
        <v>0</v>
      </c>
      <c r="F712" s="28">
        <f t="shared" si="205"/>
        <v>0</v>
      </c>
      <c r="G712" s="28">
        <f t="shared" si="205"/>
        <v>0</v>
      </c>
      <c r="H712" s="28">
        <f t="shared" si="191"/>
        <v>0</v>
      </c>
      <c r="I712" s="28">
        <f aca="true" t="shared" si="206" ref="I712:K713">I719+I825+I938+I953+I1024</f>
        <v>0</v>
      </c>
      <c r="J712" s="28">
        <f t="shared" si="206"/>
        <v>0</v>
      </c>
      <c r="K712" s="28">
        <f t="shared" si="206"/>
        <v>0</v>
      </c>
      <c r="L712" s="348"/>
      <c r="M712" s="348"/>
      <c r="N712" s="350"/>
      <c r="O712" s="350"/>
    </row>
    <row r="713" spans="1:15" ht="15" customHeight="1">
      <c r="A713" s="323" t="s">
        <v>48</v>
      </c>
      <c r="B713" s="323"/>
      <c r="C713" s="28">
        <f t="shared" si="203"/>
        <v>0</v>
      </c>
      <c r="D713" s="28">
        <f t="shared" si="205"/>
        <v>0</v>
      </c>
      <c r="E713" s="28">
        <f t="shared" si="205"/>
        <v>0</v>
      </c>
      <c r="F713" s="28">
        <f t="shared" si="205"/>
        <v>0</v>
      </c>
      <c r="G713" s="28">
        <f t="shared" si="205"/>
        <v>0</v>
      </c>
      <c r="H713" s="28">
        <f t="shared" si="191"/>
        <v>0</v>
      </c>
      <c r="I713" s="28">
        <f t="shared" si="206"/>
        <v>0</v>
      </c>
      <c r="J713" s="28">
        <f t="shared" si="206"/>
        <v>0</v>
      </c>
      <c r="K713" s="28">
        <f t="shared" si="206"/>
        <v>0</v>
      </c>
      <c r="L713" s="348"/>
      <c r="M713" s="348"/>
      <c r="N713" s="350"/>
      <c r="O713" s="350"/>
    </row>
    <row r="714" spans="1:15" ht="15" customHeight="1">
      <c r="A714" s="323" t="s">
        <v>49</v>
      </c>
      <c r="B714" s="323"/>
      <c r="C714" s="28">
        <f t="shared" si="203"/>
        <v>0</v>
      </c>
      <c r="D714" s="28">
        <f>D721+D825+D940+D955+D1026</f>
        <v>0</v>
      </c>
      <c r="E714" s="28">
        <f>E721+E827+E940+E955+E1026</f>
        <v>0</v>
      </c>
      <c r="F714" s="28">
        <f>F721+F825+F940+F955+F1026</f>
        <v>0</v>
      </c>
      <c r="G714" s="28">
        <f>G721+G825+G940+G955+G1026</f>
        <v>0</v>
      </c>
      <c r="H714" s="28">
        <f t="shared" si="191"/>
        <v>0</v>
      </c>
      <c r="I714" s="28">
        <f>I721+I825+I940+I955+I1026</f>
        <v>0</v>
      </c>
      <c r="J714" s="28">
        <f>J721+J825+J940+J955+J1026</f>
        <v>0</v>
      </c>
      <c r="K714" s="28">
        <f>K721+K825+K940+K955+K1026</f>
        <v>0</v>
      </c>
      <c r="L714" s="348"/>
      <c r="M714" s="348"/>
      <c r="N714" s="350"/>
      <c r="O714" s="350"/>
    </row>
    <row r="715" spans="1:15" ht="35.25" customHeight="1">
      <c r="A715" s="404" t="s">
        <v>283</v>
      </c>
      <c r="B715" s="405"/>
      <c r="C715" s="172"/>
      <c r="D715" s="172"/>
      <c r="E715" s="172"/>
      <c r="F715" s="172"/>
      <c r="G715" s="172"/>
      <c r="H715" s="28"/>
      <c r="I715" s="172"/>
      <c r="J715" s="172"/>
      <c r="K715" s="173"/>
      <c r="L715" s="348" t="s">
        <v>265</v>
      </c>
      <c r="M715" s="348" t="s">
        <v>86</v>
      </c>
      <c r="N715" s="303" t="s">
        <v>374</v>
      </c>
      <c r="O715" s="303" t="s">
        <v>359</v>
      </c>
    </row>
    <row r="716" spans="1:15" ht="19.5" customHeight="1">
      <c r="A716" s="339" t="s">
        <v>52</v>
      </c>
      <c r="B716" s="339"/>
      <c r="C716" s="28">
        <f aca="true" t="shared" si="207" ref="C716:K716">SUM(C717:C721)</f>
        <v>20231.23464</v>
      </c>
      <c r="D716" s="28">
        <f t="shared" si="207"/>
        <v>2037.474</v>
      </c>
      <c r="E716" s="28">
        <f t="shared" si="207"/>
        <v>1715.9981400000001</v>
      </c>
      <c r="F716" s="28">
        <f t="shared" si="207"/>
        <v>2724.9525</v>
      </c>
      <c r="G716" s="28">
        <f t="shared" si="207"/>
        <v>1612.81</v>
      </c>
      <c r="H716" s="28">
        <f t="shared" si="191"/>
        <v>6070</v>
      </c>
      <c r="I716" s="28">
        <f t="shared" si="207"/>
        <v>2280</v>
      </c>
      <c r="J716" s="28">
        <f t="shared" si="207"/>
        <v>1895</v>
      </c>
      <c r="K716" s="28">
        <f t="shared" si="207"/>
        <v>1895</v>
      </c>
      <c r="L716" s="348"/>
      <c r="M716" s="348"/>
      <c r="N716" s="304"/>
      <c r="O716" s="304"/>
    </row>
    <row r="717" spans="1:15" ht="15" customHeight="1">
      <c r="A717" s="339" t="s">
        <v>45</v>
      </c>
      <c r="B717" s="339"/>
      <c r="C717" s="28">
        <f>SUM(E717:G717)</f>
        <v>0</v>
      </c>
      <c r="D717" s="28">
        <f aca="true" t="shared" si="208" ref="D717:K721">D724+D731+D738+D745+D752+D759+D766+D773+D780+D787+D794+D801+D808+D815</f>
        <v>0</v>
      </c>
      <c r="E717" s="28">
        <f t="shared" si="208"/>
        <v>0</v>
      </c>
      <c r="F717" s="28">
        <f t="shared" si="208"/>
        <v>0</v>
      </c>
      <c r="G717" s="28">
        <f t="shared" si="208"/>
        <v>0</v>
      </c>
      <c r="H717" s="28">
        <f t="shared" si="191"/>
        <v>0</v>
      </c>
      <c r="I717" s="28">
        <f t="shared" si="208"/>
        <v>0</v>
      </c>
      <c r="J717" s="28">
        <f t="shared" si="208"/>
        <v>0</v>
      </c>
      <c r="K717" s="28">
        <f t="shared" si="208"/>
        <v>0</v>
      </c>
      <c r="L717" s="348"/>
      <c r="M717" s="348"/>
      <c r="N717" s="304"/>
      <c r="O717" s="304"/>
    </row>
    <row r="718" spans="1:15" ht="15" customHeight="1">
      <c r="A718" s="339" t="s">
        <v>46</v>
      </c>
      <c r="B718" s="339"/>
      <c r="C718" s="112">
        <f>SUM(D718:K718)</f>
        <v>20231.23464</v>
      </c>
      <c r="D718" s="28">
        <f>D725+D732+D739+D746+D753+D760+D767+D774+D781+D788+D795+D802+D809+D816</f>
        <v>2037.474</v>
      </c>
      <c r="E718" s="28">
        <f t="shared" si="208"/>
        <v>1715.9981400000001</v>
      </c>
      <c r="F718" s="28">
        <f>F725+F732+F739+F746+F753+F760+F767+F774+F781+F788+F795+F802+F809+F816</f>
        <v>2724.9525</v>
      </c>
      <c r="G718" s="28">
        <f>G725+G732+G739+G746+G753+G760+G767+G774+G781+G788+G795+G802+G809+G816</f>
        <v>1612.81</v>
      </c>
      <c r="H718" s="28">
        <f t="shared" si="191"/>
        <v>6070</v>
      </c>
      <c r="I718" s="28">
        <f>I725+I732+I739+I746+I753+I760+I767+I774+I781+I788+I795+I802+I809+I816</f>
        <v>2280</v>
      </c>
      <c r="J718" s="28">
        <f>J725+J732+J739+J746+J753+J760+J767+J774+J781+J788+J795+J802+J809+J816</f>
        <v>1895</v>
      </c>
      <c r="K718" s="28">
        <f>K725+K732+K739+K746+K753+K760+K767+K774+K781+K788+K795+K802+K809+K816</f>
        <v>1895</v>
      </c>
      <c r="L718" s="348"/>
      <c r="M718" s="348"/>
      <c r="N718" s="304"/>
      <c r="O718" s="304"/>
    </row>
    <row r="719" spans="1:15" ht="15" customHeight="1">
      <c r="A719" s="339" t="s">
        <v>47</v>
      </c>
      <c r="B719" s="339"/>
      <c r="C719" s="28">
        <f>SUM(E719:G719)</f>
        <v>0</v>
      </c>
      <c r="D719" s="28">
        <f>D726+D733+D740+D747+D754+D761+D768+D775+D782+D789+D796+D803+D810+D817</f>
        <v>0</v>
      </c>
      <c r="E719" s="28">
        <f t="shared" si="208"/>
        <v>0</v>
      </c>
      <c r="F719" s="28">
        <f t="shared" si="208"/>
        <v>0</v>
      </c>
      <c r="G719" s="28">
        <f t="shared" si="208"/>
        <v>0</v>
      </c>
      <c r="H719" s="28">
        <f aca="true" t="shared" si="209" ref="H719:H782">I719+J719+K719</f>
        <v>0</v>
      </c>
      <c r="I719" s="28">
        <f t="shared" si="208"/>
        <v>0</v>
      </c>
      <c r="J719" s="28">
        <f t="shared" si="208"/>
        <v>0</v>
      </c>
      <c r="K719" s="28">
        <f t="shared" si="208"/>
        <v>0</v>
      </c>
      <c r="L719" s="348"/>
      <c r="M719" s="348"/>
      <c r="N719" s="304"/>
      <c r="O719" s="304"/>
    </row>
    <row r="720" spans="1:15" ht="15" customHeight="1">
      <c r="A720" s="339" t="s">
        <v>48</v>
      </c>
      <c r="B720" s="339"/>
      <c r="C720" s="28">
        <f>SUM(E720:G720)</f>
        <v>0</v>
      </c>
      <c r="D720" s="28">
        <f>D727+D734+D741+D748+D755+D762+D769+D776+D783+D790+D797+D804+D811+D818</f>
        <v>0</v>
      </c>
      <c r="E720" s="28">
        <f t="shared" si="208"/>
        <v>0</v>
      </c>
      <c r="F720" s="28">
        <f t="shared" si="208"/>
        <v>0</v>
      </c>
      <c r="G720" s="28">
        <f t="shared" si="208"/>
        <v>0</v>
      </c>
      <c r="H720" s="28">
        <f t="shared" si="209"/>
        <v>0</v>
      </c>
      <c r="I720" s="28">
        <f t="shared" si="208"/>
        <v>0</v>
      </c>
      <c r="J720" s="28">
        <f t="shared" si="208"/>
        <v>0</v>
      </c>
      <c r="K720" s="28">
        <f t="shared" si="208"/>
        <v>0</v>
      </c>
      <c r="L720" s="348"/>
      <c r="M720" s="348"/>
      <c r="N720" s="304"/>
      <c r="O720" s="304"/>
    </row>
    <row r="721" spans="1:15" ht="15" customHeight="1">
      <c r="A721" s="339" t="s">
        <v>49</v>
      </c>
      <c r="B721" s="339"/>
      <c r="C721" s="28">
        <f>SUM(E721:G721)</f>
        <v>0</v>
      </c>
      <c r="D721" s="28">
        <f>D728+D735+D742+D749+D756+D763+D770+D777+D784+D791+D798+D805+D812+D819</f>
        <v>0</v>
      </c>
      <c r="E721" s="28">
        <f t="shared" si="208"/>
        <v>0</v>
      </c>
      <c r="F721" s="28">
        <f t="shared" si="208"/>
        <v>0</v>
      </c>
      <c r="G721" s="28">
        <f t="shared" si="208"/>
        <v>0</v>
      </c>
      <c r="H721" s="28">
        <f t="shared" si="209"/>
        <v>0</v>
      </c>
      <c r="I721" s="28">
        <f t="shared" si="208"/>
        <v>0</v>
      </c>
      <c r="J721" s="28">
        <f t="shared" si="208"/>
        <v>0</v>
      </c>
      <c r="K721" s="28">
        <f t="shared" si="208"/>
        <v>0</v>
      </c>
      <c r="L721" s="348"/>
      <c r="M721" s="348"/>
      <c r="N721" s="305"/>
      <c r="O721" s="305"/>
    </row>
    <row r="722" spans="1:15" ht="16.5" customHeight="1">
      <c r="A722" s="332" t="s">
        <v>284</v>
      </c>
      <c r="B722" s="333"/>
      <c r="C722" s="174"/>
      <c r="D722" s="174"/>
      <c r="E722" s="174"/>
      <c r="F722" s="174"/>
      <c r="G722" s="174"/>
      <c r="H722" s="28"/>
      <c r="I722" s="174"/>
      <c r="J722" s="174"/>
      <c r="K722" s="174"/>
      <c r="L722" s="348" t="s">
        <v>265</v>
      </c>
      <c r="M722" s="348"/>
      <c r="N722" s="303" t="s">
        <v>315</v>
      </c>
      <c r="O722" s="303" t="s">
        <v>251</v>
      </c>
    </row>
    <row r="723" spans="1:15" ht="15" customHeight="1">
      <c r="A723" s="339" t="s">
        <v>52</v>
      </c>
      <c r="B723" s="339"/>
      <c r="C723" s="28">
        <f aca="true" t="shared" si="210" ref="C723:K723">SUM(C724:C728)</f>
        <v>958.858</v>
      </c>
      <c r="D723" s="28">
        <f t="shared" si="210"/>
        <v>14.474</v>
      </c>
      <c r="E723" s="28">
        <f t="shared" si="210"/>
        <v>36.034</v>
      </c>
      <c r="F723" s="28">
        <f t="shared" si="210"/>
        <v>193.54</v>
      </c>
      <c r="G723" s="28">
        <f t="shared" si="210"/>
        <v>14.81</v>
      </c>
      <c r="H723" s="28">
        <f t="shared" si="209"/>
        <v>350</v>
      </c>
      <c r="I723" s="28">
        <f t="shared" si="210"/>
        <v>250</v>
      </c>
      <c r="J723" s="28">
        <f t="shared" si="210"/>
        <v>50</v>
      </c>
      <c r="K723" s="28">
        <f t="shared" si="210"/>
        <v>50</v>
      </c>
      <c r="L723" s="348"/>
      <c r="M723" s="348"/>
      <c r="N723" s="304"/>
      <c r="O723" s="304"/>
    </row>
    <row r="724" spans="1:15" ht="15" customHeight="1">
      <c r="A724" s="339" t="s">
        <v>45</v>
      </c>
      <c r="B724" s="339"/>
      <c r="C724" s="28">
        <f>SUM(E724:G724)</f>
        <v>0</v>
      </c>
      <c r="D724" s="28">
        <v>0</v>
      </c>
      <c r="E724" s="28">
        <v>0</v>
      </c>
      <c r="F724" s="28">
        <v>0</v>
      </c>
      <c r="G724" s="28">
        <v>0</v>
      </c>
      <c r="H724" s="28">
        <f t="shared" si="209"/>
        <v>0</v>
      </c>
      <c r="I724" s="28">
        <v>0</v>
      </c>
      <c r="J724" s="28">
        <v>0</v>
      </c>
      <c r="K724" s="28">
        <v>0</v>
      </c>
      <c r="L724" s="348"/>
      <c r="M724" s="348"/>
      <c r="N724" s="304"/>
      <c r="O724" s="304"/>
    </row>
    <row r="725" spans="1:15" ht="15" customHeight="1">
      <c r="A725" s="339" t="s">
        <v>46</v>
      </c>
      <c r="B725" s="339"/>
      <c r="C725" s="112">
        <f>SUM(D725:K725)</f>
        <v>958.858</v>
      </c>
      <c r="D725" s="28">
        <v>14.474</v>
      </c>
      <c r="E725" s="28">
        <v>36.034</v>
      </c>
      <c r="F725" s="28">
        <v>193.54</v>
      </c>
      <c r="G725" s="28">
        <v>14.81</v>
      </c>
      <c r="H725" s="28">
        <f t="shared" si="209"/>
        <v>350</v>
      </c>
      <c r="I725" s="28">
        <v>250</v>
      </c>
      <c r="J725" s="28">
        <v>50</v>
      </c>
      <c r="K725" s="28">
        <v>50</v>
      </c>
      <c r="L725" s="348"/>
      <c r="M725" s="348"/>
      <c r="N725" s="304"/>
      <c r="O725" s="304"/>
    </row>
    <row r="726" spans="1:15" ht="15" customHeight="1">
      <c r="A726" s="339" t="s">
        <v>47</v>
      </c>
      <c r="B726" s="339"/>
      <c r="C726" s="28">
        <f>SUM(E726:G726)</f>
        <v>0</v>
      </c>
      <c r="D726" s="28">
        <v>0</v>
      </c>
      <c r="E726" s="28">
        <v>0</v>
      </c>
      <c r="F726" s="28">
        <v>0</v>
      </c>
      <c r="G726" s="28">
        <v>0</v>
      </c>
      <c r="H726" s="28">
        <f t="shared" si="209"/>
        <v>0</v>
      </c>
      <c r="I726" s="28">
        <v>0</v>
      </c>
      <c r="J726" s="28">
        <v>0</v>
      </c>
      <c r="K726" s="28">
        <v>0</v>
      </c>
      <c r="L726" s="348"/>
      <c r="M726" s="348"/>
      <c r="N726" s="304"/>
      <c r="O726" s="304"/>
    </row>
    <row r="727" spans="1:15" ht="15" customHeight="1">
      <c r="A727" s="339" t="s">
        <v>48</v>
      </c>
      <c r="B727" s="339"/>
      <c r="C727" s="28">
        <f>SUM(E727:G727)</f>
        <v>0</v>
      </c>
      <c r="D727" s="28">
        <v>0</v>
      </c>
      <c r="E727" s="28">
        <v>0</v>
      </c>
      <c r="F727" s="28">
        <v>0</v>
      </c>
      <c r="G727" s="28">
        <v>0</v>
      </c>
      <c r="H727" s="28">
        <f t="shared" si="209"/>
        <v>0</v>
      </c>
      <c r="I727" s="28">
        <v>0</v>
      </c>
      <c r="J727" s="28">
        <v>0</v>
      </c>
      <c r="K727" s="28">
        <v>0</v>
      </c>
      <c r="L727" s="348"/>
      <c r="M727" s="348"/>
      <c r="N727" s="304"/>
      <c r="O727" s="304"/>
    </row>
    <row r="728" spans="1:15" ht="15" customHeight="1">
      <c r="A728" s="339" t="s">
        <v>49</v>
      </c>
      <c r="B728" s="339"/>
      <c r="C728" s="28">
        <f>SUM(E728:G728)</f>
        <v>0</v>
      </c>
      <c r="D728" s="28">
        <v>0</v>
      </c>
      <c r="E728" s="28">
        <v>0</v>
      </c>
      <c r="F728" s="28">
        <v>0</v>
      </c>
      <c r="G728" s="28">
        <v>0</v>
      </c>
      <c r="H728" s="28">
        <f t="shared" si="209"/>
        <v>0</v>
      </c>
      <c r="I728" s="28">
        <v>0</v>
      </c>
      <c r="J728" s="28">
        <v>0</v>
      </c>
      <c r="K728" s="28">
        <v>0</v>
      </c>
      <c r="L728" s="348"/>
      <c r="M728" s="348"/>
      <c r="N728" s="305"/>
      <c r="O728" s="305"/>
    </row>
    <row r="729" spans="1:15" ht="22.5" customHeight="1">
      <c r="A729" s="332" t="s">
        <v>285</v>
      </c>
      <c r="B729" s="471"/>
      <c r="C729" s="172"/>
      <c r="D729" s="172"/>
      <c r="E729" s="172"/>
      <c r="F729" s="172"/>
      <c r="G729" s="172"/>
      <c r="H729" s="28"/>
      <c r="I729" s="172"/>
      <c r="J729" s="172"/>
      <c r="K729" s="173"/>
      <c r="L729" s="348" t="s">
        <v>265</v>
      </c>
      <c r="M729" s="348"/>
      <c r="N729" s="303" t="s">
        <v>315</v>
      </c>
      <c r="O729" s="303" t="s">
        <v>251</v>
      </c>
    </row>
    <row r="730" spans="1:15" ht="15" customHeight="1">
      <c r="A730" s="339" t="s">
        <v>52</v>
      </c>
      <c r="B730" s="339"/>
      <c r="C730" s="28">
        <f aca="true" t="shared" si="211" ref="C730:K730">SUM(C731:C735)</f>
        <v>1410</v>
      </c>
      <c r="D730" s="28">
        <f t="shared" si="211"/>
        <v>100</v>
      </c>
      <c r="E730" s="28">
        <f t="shared" si="211"/>
        <v>150</v>
      </c>
      <c r="F730" s="28">
        <f t="shared" si="211"/>
        <v>150</v>
      </c>
      <c r="G730" s="28">
        <f t="shared" si="211"/>
        <v>150</v>
      </c>
      <c r="H730" s="28">
        <f t="shared" si="209"/>
        <v>430</v>
      </c>
      <c r="I730" s="28">
        <f t="shared" si="211"/>
        <v>200</v>
      </c>
      <c r="J730" s="28">
        <f t="shared" si="211"/>
        <v>115</v>
      </c>
      <c r="K730" s="28">
        <f t="shared" si="211"/>
        <v>115</v>
      </c>
      <c r="L730" s="348"/>
      <c r="M730" s="348"/>
      <c r="N730" s="304"/>
      <c r="O730" s="304"/>
    </row>
    <row r="731" spans="1:15" ht="15" customHeight="1">
      <c r="A731" s="339" t="s">
        <v>45</v>
      </c>
      <c r="B731" s="339"/>
      <c r="C731" s="28">
        <f>SUM(E731:G731)</f>
        <v>0</v>
      </c>
      <c r="D731" s="28">
        <v>0</v>
      </c>
      <c r="E731" s="28">
        <v>0</v>
      </c>
      <c r="F731" s="28">
        <v>0</v>
      </c>
      <c r="G731" s="28">
        <v>0</v>
      </c>
      <c r="H731" s="28">
        <f t="shared" si="209"/>
        <v>0</v>
      </c>
      <c r="I731" s="28">
        <v>0</v>
      </c>
      <c r="J731" s="28">
        <v>0</v>
      </c>
      <c r="K731" s="28">
        <v>0</v>
      </c>
      <c r="L731" s="348"/>
      <c r="M731" s="348"/>
      <c r="N731" s="304"/>
      <c r="O731" s="304"/>
    </row>
    <row r="732" spans="1:15" ht="15" customHeight="1">
      <c r="A732" s="339" t="s">
        <v>46</v>
      </c>
      <c r="B732" s="339"/>
      <c r="C732" s="112">
        <f>SUM(D732:K732)</f>
        <v>1410</v>
      </c>
      <c r="D732" s="28">
        <v>100</v>
      </c>
      <c r="E732" s="28">
        <v>150</v>
      </c>
      <c r="F732" s="28">
        <v>150</v>
      </c>
      <c r="G732" s="28">
        <v>150</v>
      </c>
      <c r="H732" s="28">
        <f t="shared" si="209"/>
        <v>430</v>
      </c>
      <c r="I732" s="28">
        <v>200</v>
      </c>
      <c r="J732" s="28">
        <v>115</v>
      </c>
      <c r="K732" s="28">
        <v>115</v>
      </c>
      <c r="L732" s="348"/>
      <c r="M732" s="348"/>
      <c r="N732" s="304"/>
      <c r="O732" s="304"/>
    </row>
    <row r="733" spans="1:15" ht="15" customHeight="1">
      <c r="A733" s="339" t="s">
        <v>47</v>
      </c>
      <c r="B733" s="339"/>
      <c r="C733" s="28">
        <f>SUM(E733:G733)</f>
        <v>0</v>
      </c>
      <c r="D733" s="28">
        <v>0</v>
      </c>
      <c r="E733" s="28">
        <v>0</v>
      </c>
      <c r="F733" s="28">
        <v>0</v>
      </c>
      <c r="G733" s="28">
        <v>0</v>
      </c>
      <c r="H733" s="28">
        <f t="shared" si="209"/>
        <v>0</v>
      </c>
      <c r="I733" s="28">
        <v>0</v>
      </c>
      <c r="J733" s="28">
        <v>0</v>
      </c>
      <c r="K733" s="28">
        <v>0</v>
      </c>
      <c r="L733" s="348"/>
      <c r="M733" s="348"/>
      <c r="N733" s="304"/>
      <c r="O733" s="304"/>
    </row>
    <row r="734" spans="1:15" ht="15" customHeight="1">
      <c r="A734" s="339" t="s">
        <v>48</v>
      </c>
      <c r="B734" s="339"/>
      <c r="C734" s="28">
        <f>SUM(E734:G734)</f>
        <v>0</v>
      </c>
      <c r="D734" s="28">
        <v>0</v>
      </c>
      <c r="E734" s="28">
        <v>0</v>
      </c>
      <c r="F734" s="28">
        <v>0</v>
      </c>
      <c r="G734" s="28">
        <v>0</v>
      </c>
      <c r="H734" s="28">
        <f t="shared" si="209"/>
        <v>0</v>
      </c>
      <c r="I734" s="28">
        <v>0</v>
      </c>
      <c r="J734" s="28">
        <v>0</v>
      </c>
      <c r="K734" s="28">
        <v>0</v>
      </c>
      <c r="L734" s="348"/>
      <c r="M734" s="348"/>
      <c r="N734" s="304"/>
      <c r="O734" s="304"/>
    </row>
    <row r="735" spans="1:15" ht="15" customHeight="1">
      <c r="A735" s="339" t="s">
        <v>49</v>
      </c>
      <c r="B735" s="339"/>
      <c r="C735" s="28">
        <f>SUM(E735:G735)</f>
        <v>0</v>
      </c>
      <c r="D735" s="28">
        <v>0</v>
      </c>
      <c r="E735" s="28">
        <v>0</v>
      </c>
      <c r="F735" s="28">
        <v>0</v>
      </c>
      <c r="G735" s="28">
        <v>0</v>
      </c>
      <c r="H735" s="28">
        <f t="shared" si="209"/>
        <v>0</v>
      </c>
      <c r="I735" s="28">
        <v>0</v>
      </c>
      <c r="J735" s="28">
        <v>0</v>
      </c>
      <c r="K735" s="28">
        <v>0</v>
      </c>
      <c r="L735" s="348"/>
      <c r="M735" s="348"/>
      <c r="N735" s="305"/>
      <c r="O735" s="305"/>
    </row>
    <row r="736" spans="1:15" ht="18.75" customHeight="1">
      <c r="A736" s="332" t="s">
        <v>286</v>
      </c>
      <c r="B736" s="333"/>
      <c r="C736" s="174"/>
      <c r="D736" s="174"/>
      <c r="E736" s="174"/>
      <c r="F736" s="174"/>
      <c r="G736" s="174"/>
      <c r="H736" s="28"/>
      <c r="I736" s="174"/>
      <c r="J736" s="174"/>
      <c r="K736" s="174"/>
      <c r="L736" s="348" t="s">
        <v>265</v>
      </c>
      <c r="M736" s="348"/>
      <c r="N736" s="315"/>
      <c r="O736" s="315"/>
    </row>
    <row r="737" spans="1:15" ht="18" customHeight="1">
      <c r="A737" s="339" t="s">
        <v>52</v>
      </c>
      <c r="B737" s="339"/>
      <c r="C737" s="28">
        <f aca="true" t="shared" si="212" ref="C737:K737">SUM(C738:C742)</f>
        <v>70</v>
      </c>
      <c r="D737" s="28">
        <f t="shared" si="212"/>
        <v>70</v>
      </c>
      <c r="E737" s="28">
        <f t="shared" si="212"/>
        <v>0</v>
      </c>
      <c r="F737" s="28">
        <f t="shared" si="212"/>
        <v>0</v>
      </c>
      <c r="G737" s="28">
        <f t="shared" si="212"/>
        <v>0</v>
      </c>
      <c r="H737" s="28">
        <f t="shared" si="209"/>
        <v>0</v>
      </c>
      <c r="I737" s="28">
        <f t="shared" si="212"/>
        <v>0</v>
      </c>
      <c r="J737" s="28">
        <f t="shared" si="212"/>
        <v>0</v>
      </c>
      <c r="K737" s="28">
        <f t="shared" si="212"/>
        <v>0</v>
      </c>
      <c r="L737" s="348"/>
      <c r="M737" s="348"/>
      <c r="N737" s="315"/>
      <c r="O737" s="315"/>
    </row>
    <row r="738" spans="1:15" ht="15" customHeight="1">
      <c r="A738" s="339" t="s">
        <v>45</v>
      </c>
      <c r="B738" s="339"/>
      <c r="C738" s="28">
        <f>SUM(E738:G738)</f>
        <v>0</v>
      </c>
      <c r="D738" s="28">
        <v>0</v>
      </c>
      <c r="E738" s="28">
        <v>0</v>
      </c>
      <c r="F738" s="28">
        <v>0</v>
      </c>
      <c r="G738" s="28">
        <v>0</v>
      </c>
      <c r="H738" s="28">
        <f t="shared" si="209"/>
        <v>0</v>
      </c>
      <c r="I738" s="28">
        <v>0</v>
      </c>
      <c r="J738" s="28">
        <v>0</v>
      </c>
      <c r="K738" s="28">
        <v>0</v>
      </c>
      <c r="L738" s="348"/>
      <c r="M738" s="348"/>
      <c r="N738" s="315"/>
      <c r="O738" s="315"/>
    </row>
    <row r="739" spans="1:15" ht="15" customHeight="1">
      <c r="A739" s="339" t="s">
        <v>46</v>
      </c>
      <c r="B739" s="339"/>
      <c r="C739" s="112">
        <f>SUM(D739:K739)</f>
        <v>70</v>
      </c>
      <c r="D739" s="28">
        <v>70</v>
      </c>
      <c r="E739" s="28">
        <v>0</v>
      </c>
      <c r="F739" s="28">
        <v>0</v>
      </c>
      <c r="G739" s="28">
        <v>0</v>
      </c>
      <c r="H739" s="28">
        <f t="shared" si="209"/>
        <v>0</v>
      </c>
      <c r="I739" s="28">
        <v>0</v>
      </c>
      <c r="J739" s="28">
        <v>0</v>
      </c>
      <c r="K739" s="28">
        <v>0</v>
      </c>
      <c r="L739" s="348"/>
      <c r="M739" s="348"/>
      <c r="N739" s="315"/>
      <c r="O739" s="315"/>
    </row>
    <row r="740" spans="1:15" ht="15" customHeight="1">
      <c r="A740" s="339" t="s">
        <v>47</v>
      </c>
      <c r="B740" s="339"/>
      <c r="C740" s="28">
        <f>SUM(E740:G740)</f>
        <v>0</v>
      </c>
      <c r="D740" s="28">
        <v>0</v>
      </c>
      <c r="E740" s="28">
        <v>0</v>
      </c>
      <c r="F740" s="28">
        <v>0</v>
      </c>
      <c r="G740" s="28">
        <v>0</v>
      </c>
      <c r="H740" s="28">
        <f t="shared" si="209"/>
        <v>0</v>
      </c>
      <c r="I740" s="28">
        <v>0</v>
      </c>
      <c r="J740" s="28">
        <v>0</v>
      </c>
      <c r="K740" s="28">
        <v>0</v>
      </c>
      <c r="L740" s="348"/>
      <c r="M740" s="348"/>
      <c r="N740" s="315"/>
      <c r="O740" s="315"/>
    </row>
    <row r="741" spans="1:15" ht="15" customHeight="1">
      <c r="A741" s="339" t="s">
        <v>48</v>
      </c>
      <c r="B741" s="339"/>
      <c r="C741" s="28">
        <f>SUM(E741:G741)</f>
        <v>0</v>
      </c>
      <c r="D741" s="28">
        <v>0</v>
      </c>
      <c r="E741" s="28">
        <v>0</v>
      </c>
      <c r="F741" s="28">
        <v>0</v>
      </c>
      <c r="G741" s="28">
        <v>0</v>
      </c>
      <c r="H741" s="28">
        <f t="shared" si="209"/>
        <v>0</v>
      </c>
      <c r="I741" s="28">
        <v>0</v>
      </c>
      <c r="J741" s="28">
        <v>0</v>
      </c>
      <c r="K741" s="28">
        <v>0</v>
      </c>
      <c r="L741" s="348"/>
      <c r="M741" s="348"/>
      <c r="N741" s="315"/>
      <c r="O741" s="315"/>
    </row>
    <row r="742" spans="1:15" ht="15" customHeight="1">
      <c r="A742" s="339" t="s">
        <v>49</v>
      </c>
      <c r="B742" s="339"/>
      <c r="C742" s="28">
        <f>SUM(E742:G742)</f>
        <v>0</v>
      </c>
      <c r="D742" s="28">
        <v>0</v>
      </c>
      <c r="E742" s="28">
        <v>0</v>
      </c>
      <c r="F742" s="28">
        <v>0</v>
      </c>
      <c r="G742" s="28">
        <v>0</v>
      </c>
      <c r="H742" s="28">
        <f t="shared" si="209"/>
        <v>0</v>
      </c>
      <c r="I742" s="28">
        <v>0</v>
      </c>
      <c r="J742" s="28">
        <v>0</v>
      </c>
      <c r="K742" s="28">
        <v>0</v>
      </c>
      <c r="L742" s="348"/>
      <c r="M742" s="348"/>
      <c r="N742" s="315"/>
      <c r="O742" s="315"/>
    </row>
    <row r="743" spans="1:42" s="11" customFormat="1" ht="30" customHeight="1">
      <c r="A743" s="334" t="s">
        <v>287</v>
      </c>
      <c r="B743" s="336"/>
      <c r="C743" s="175"/>
      <c r="D743" s="175"/>
      <c r="E743" s="175"/>
      <c r="F743" s="175"/>
      <c r="G743" s="175"/>
      <c r="H743" s="28"/>
      <c r="I743" s="175"/>
      <c r="J743" s="175"/>
      <c r="K743" s="175"/>
      <c r="L743" s="348" t="s">
        <v>265</v>
      </c>
      <c r="M743" s="348"/>
      <c r="N743" s="303" t="s">
        <v>342</v>
      </c>
      <c r="O743" s="303" t="s">
        <v>251</v>
      </c>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c r="AN743" s="146"/>
      <c r="AO743" s="146"/>
      <c r="AP743" s="146"/>
    </row>
    <row r="744" spans="1:15" ht="26.25" customHeight="1">
      <c r="A744" s="314" t="s">
        <v>52</v>
      </c>
      <c r="B744" s="314"/>
      <c r="C744" s="112">
        <f aca="true" t="shared" si="213" ref="C744:K744">SUM(C745:C749)</f>
        <v>529.97952</v>
      </c>
      <c r="D744" s="112">
        <f t="shared" si="213"/>
        <v>40</v>
      </c>
      <c r="E744" s="112">
        <f t="shared" si="213"/>
        <v>40</v>
      </c>
      <c r="F744" s="112">
        <f t="shared" si="213"/>
        <v>99.97952</v>
      </c>
      <c r="G744" s="28">
        <f t="shared" si="213"/>
        <v>50</v>
      </c>
      <c r="H744" s="28">
        <f t="shared" si="209"/>
        <v>150</v>
      </c>
      <c r="I744" s="112">
        <f t="shared" si="213"/>
        <v>50</v>
      </c>
      <c r="J744" s="112">
        <f t="shared" si="213"/>
        <v>50</v>
      </c>
      <c r="K744" s="112">
        <f t="shared" si="213"/>
        <v>50</v>
      </c>
      <c r="L744" s="348"/>
      <c r="M744" s="348"/>
      <c r="N744" s="304"/>
      <c r="O744" s="304"/>
    </row>
    <row r="745" spans="1:15" ht="15" customHeight="1">
      <c r="A745" s="314" t="s">
        <v>45</v>
      </c>
      <c r="B745" s="314"/>
      <c r="C745" s="112">
        <f>SUM(E745:G745)</f>
        <v>0</v>
      </c>
      <c r="D745" s="112">
        <v>0</v>
      </c>
      <c r="E745" s="112">
        <v>0</v>
      </c>
      <c r="F745" s="112">
        <v>0</v>
      </c>
      <c r="G745" s="28">
        <v>0</v>
      </c>
      <c r="H745" s="28">
        <f t="shared" si="209"/>
        <v>0</v>
      </c>
      <c r="I745" s="112">
        <v>0</v>
      </c>
      <c r="J745" s="112">
        <v>0</v>
      </c>
      <c r="K745" s="112">
        <v>0</v>
      </c>
      <c r="L745" s="348"/>
      <c r="M745" s="348"/>
      <c r="N745" s="304"/>
      <c r="O745" s="304"/>
    </row>
    <row r="746" spans="1:15" ht="15" customHeight="1">
      <c r="A746" s="314" t="s">
        <v>46</v>
      </c>
      <c r="B746" s="314"/>
      <c r="C746" s="112">
        <f>SUM(D746:K746)</f>
        <v>529.97952</v>
      </c>
      <c r="D746" s="112">
        <v>40</v>
      </c>
      <c r="E746" s="112">
        <v>40</v>
      </c>
      <c r="F746" s="112">
        <v>99.97952</v>
      </c>
      <c r="G746" s="28">
        <v>50</v>
      </c>
      <c r="H746" s="28">
        <f t="shared" si="209"/>
        <v>150</v>
      </c>
      <c r="I746" s="112">
        <v>50</v>
      </c>
      <c r="J746" s="112">
        <v>50</v>
      </c>
      <c r="K746" s="112">
        <v>50</v>
      </c>
      <c r="L746" s="348"/>
      <c r="M746" s="348"/>
      <c r="N746" s="304"/>
      <c r="O746" s="304"/>
    </row>
    <row r="747" spans="1:15" ht="15" customHeight="1">
      <c r="A747" s="314" t="s">
        <v>47</v>
      </c>
      <c r="B747" s="314"/>
      <c r="C747" s="112">
        <f>SUM(E747:G747)</f>
        <v>0</v>
      </c>
      <c r="D747" s="112">
        <v>0</v>
      </c>
      <c r="E747" s="112">
        <v>0</v>
      </c>
      <c r="F747" s="112">
        <v>0</v>
      </c>
      <c r="G747" s="28">
        <v>0</v>
      </c>
      <c r="H747" s="28">
        <f t="shared" si="209"/>
        <v>0</v>
      </c>
      <c r="I747" s="112">
        <v>0</v>
      </c>
      <c r="J747" s="112">
        <v>0</v>
      </c>
      <c r="K747" s="112">
        <v>0</v>
      </c>
      <c r="L747" s="348"/>
      <c r="M747" s="348"/>
      <c r="N747" s="304"/>
      <c r="O747" s="304"/>
    </row>
    <row r="748" spans="1:15" ht="15" customHeight="1">
      <c r="A748" s="314" t="s">
        <v>48</v>
      </c>
      <c r="B748" s="314"/>
      <c r="C748" s="112">
        <f>SUM(E748:G748)</f>
        <v>0</v>
      </c>
      <c r="D748" s="112">
        <v>0</v>
      </c>
      <c r="E748" s="112">
        <v>0</v>
      </c>
      <c r="F748" s="112">
        <v>0</v>
      </c>
      <c r="G748" s="28">
        <v>0</v>
      </c>
      <c r="H748" s="28">
        <f t="shared" si="209"/>
        <v>0</v>
      </c>
      <c r="I748" s="112">
        <v>0</v>
      </c>
      <c r="J748" s="112">
        <v>0</v>
      </c>
      <c r="K748" s="112">
        <v>0</v>
      </c>
      <c r="L748" s="348"/>
      <c r="M748" s="348"/>
      <c r="N748" s="304"/>
      <c r="O748" s="304"/>
    </row>
    <row r="749" spans="1:15" ht="15" customHeight="1">
      <c r="A749" s="314" t="s">
        <v>49</v>
      </c>
      <c r="B749" s="314"/>
      <c r="C749" s="112">
        <f>SUM(E749:G749)</f>
        <v>0</v>
      </c>
      <c r="D749" s="112">
        <v>0</v>
      </c>
      <c r="E749" s="112">
        <v>0</v>
      </c>
      <c r="F749" s="112">
        <v>0</v>
      </c>
      <c r="G749" s="28">
        <v>0</v>
      </c>
      <c r="H749" s="28">
        <f t="shared" si="209"/>
        <v>0</v>
      </c>
      <c r="I749" s="112">
        <v>0</v>
      </c>
      <c r="J749" s="112">
        <v>0</v>
      </c>
      <c r="K749" s="112">
        <v>0</v>
      </c>
      <c r="L749" s="348"/>
      <c r="M749" s="348"/>
      <c r="N749" s="305"/>
      <c r="O749" s="305"/>
    </row>
    <row r="750" spans="1:15" ht="45" customHeight="1">
      <c r="A750" s="334" t="s">
        <v>288</v>
      </c>
      <c r="B750" s="335"/>
      <c r="C750" s="176"/>
      <c r="D750" s="176"/>
      <c r="E750" s="176"/>
      <c r="F750" s="176"/>
      <c r="G750" s="176"/>
      <c r="H750" s="28"/>
      <c r="I750" s="176"/>
      <c r="J750" s="176"/>
      <c r="K750" s="177"/>
      <c r="L750" s="348" t="s">
        <v>265</v>
      </c>
      <c r="M750" s="348"/>
      <c r="N750" s="303" t="s">
        <v>257</v>
      </c>
      <c r="O750" s="303" t="s">
        <v>267</v>
      </c>
    </row>
    <row r="751" spans="1:15" ht="15" customHeight="1">
      <c r="A751" s="314" t="s">
        <v>52</v>
      </c>
      <c r="B751" s="314"/>
      <c r="C751" s="112">
        <f aca="true" t="shared" si="214" ref="C751:K751">SUM(C752:C756)</f>
        <v>2359.96403</v>
      </c>
      <c r="D751" s="112">
        <f t="shared" si="214"/>
        <v>80</v>
      </c>
      <c r="E751" s="112">
        <f t="shared" si="214"/>
        <v>100</v>
      </c>
      <c r="F751" s="112">
        <f t="shared" si="214"/>
        <v>249.96403</v>
      </c>
      <c r="G751" s="28">
        <f t="shared" si="214"/>
        <v>250</v>
      </c>
      <c r="H751" s="28">
        <f t="shared" si="209"/>
        <v>840</v>
      </c>
      <c r="I751" s="112">
        <f t="shared" si="214"/>
        <v>280</v>
      </c>
      <c r="J751" s="112">
        <f t="shared" si="214"/>
        <v>280</v>
      </c>
      <c r="K751" s="112">
        <f t="shared" si="214"/>
        <v>280</v>
      </c>
      <c r="L751" s="348"/>
      <c r="M751" s="348"/>
      <c r="N751" s="304"/>
      <c r="O751" s="304"/>
    </row>
    <row r="752" spans="1:15" ht="15" customHeight="1">
      <c r="A752" s="314" t="s">
        <v>45</v>
      </c>
      <c r="B752" s="314"/>
      <c r="C752" s="112">
        <f>SUM(E752:G752)</f>
        <v>0</v>
      </c>
      <c r="D752" s="112">
        <v>0</v>
      </c>
      <c r="E752" s="112">
        <v>0</v>
      </c>
      <c r="F752" s="112">
        <v>0</v>
      </c>
      <c r="G752" s="28">
        <v>0</v>
      </c>
      <c r="H752" s="28">
        <f t="shared" si="209"/>
        <v>0</v>
      </c>
      <c r="I752" s="112">
        <v>0</v>
      </c>
      <c r="J752" s="112">
        <v>0</v>
      </c>
      <c r="K752" s="112">
        <v>0</v>
      </c>
      <c r="L752" s="348"/>
      <c r="M752" s="348"/>
      <c r="N752" s="304"/>
      <c r="O752" s="304"/>
    </row>
    <row r="753" spans="1:15" ht="15" customHeight="1">
      <c r="A753" s="314" t="s">
        <v>46</v>
      </c>
      <c r="B753" s="314"/>
      <c r="C753" s="112">
        <f>SUM(D753:K753)</f>
        <v>2359.96403</v>
      </c>
      <c r="D753" s="112">
        <v>80</v>
      </c>
      <c r="E753" s="112">
        <v>100</v>
      </c>
      <c r="F753" s="112">
        <v>249.96403</v>
      </c>
      <c r="G753" s="28">
        <v>250</v>
      </c>
      <c r="H753" s="28">
        <f t="shared" si="209"/>
        <v>840</v>
      </c>
      <c r="I753" s="112">
        <v>280</v>
      </c>
      <c r="J753" s="112">
        <v>280</v>
      </c>
      <c r="K753" s="112">
        <v>280</v>
      </c>
      <c r="L753" s="348"/>
      <c r="M753" s="348"/>
      <c r="N753" s="304"/>
      <c r="O753" s="304"/>
    </row>
    <row r="754" spans="1:15" ht="15" customHeight="1">
      <c r="A754" s="314" t="s">
        <v>47</v>
      </c>
      <c r="B754" s="314"/>
      <c r="C754" s="112">
        <f>SUM(E754:G754)</f>
        <v>0</v>
      </c>
      <c r="D754" s="112">
        <v>0</v>
      </c>
      <c r="E754" s="112">
        <v>0</v>
      </c>
      <c r="F754" s="112">
        <v>0</v>
      </c>
      <c r="G754" s="28">
        <v>0</v>
      </c>
      <c r="H754" s="28">
        <f t="shared" si="209"/>
        <v>0</v>
      </c>
      <c r="I754" s="112">
        <v>0</v>
      </c>
      <c r="J754" s="112">
        <v>0</v>
      </c>
      <c r="K754" s="112">
        <v>0</v>
      </c>
      <c r="L754" s="348"/>
      <c r="M754" s="348"/>
      <c r="N754" s="304"/>
      <c r="O754" s="304"/>
    </row>
    <row r="755" spans="1:15" ht="15" customHeight="1">
      <c r="A755" s="314" t="s">
        <v>48</v>
      </c>
      <c r="B755" s="314"/>
      <c r="C755" s="112">
        <f>SUM(E755:G755)</f>
        <v>0</v>
      </c>
      <c r="D755" s="112">
        <v>0</v>
      </c>
      <c r="E755" s="112">
        <v>0</v>
      </c>
      <c r="F755" s="112">
        <v>0</v>
      </c>
      <c r="G755" s="28">
        <v>0</v>
      </c>
      <c r="H755" s="28">
        <f t="shared" si="209"/>
        <v>0</v>
      </c>
      <c r="I755" s="112">
        <v>0</v>
      </c>
      <c r="J755" s="112">
        <v>0</v>
      </c>
      <c r="K755" s="112">
        <v>0</v>
      </c>
      <c r="L755" s="348"/>
      <c r="M755" s="348"/>
      <c r="N755" s="304"/>
      <c r="O755" s="304"/>
    </row>
    <row r="756" spans="1:15" ht="15" customHeight="1">
      <c r="A756" s="314" t="s">
        <v>49</v>
      </c>
      <c r="B756" s="314"/>
      <c r="C756" s="112">
        <f>SUM(E756:G756)</f>
        <v>0</v>
      </c>
      <c r="D756" s="112">
        <v>0</v>
      </c>
      <c r="E756" s="112">
        <v>0</v>
      </c>
      <c r="F756" s="112">
        <v>0</v>
      </c>
      <c r="G756" s="28">
        <v>0</v>
      </c>
      <c r="H756" s="28">
        <f t="shared" si="209"/>
        <v>0</v>
      </c>
      <c r="I756" s="112">
        <v>0</v>
      </c>
      <c r="J756" s="112">
        <v>0</v>
      </c>
      <c r="K756" s="112">
        <v>0</v>
      </c>
      <c r="L756" s="348"/>
      <c r="M756" s="348"/>
      <c r="N756" s="305"/>
      <c r="O756" s="305"/>
    </row>
    <row r="757" spans="1:15" ht="25.5" customHeight="1">
      <c r="A757" s="334" t="s">
        <v>289</v>
      </c>
      <c r="B757" s="335"/>
      <c r="C757" s="178"/>
      <c r="D757" s="178"/>
      <c r="E757" s="178"/>
      <c r="F757" s="178"/>
      <c r="G757" s="178"/>
      <c r="H757" s="28"/>
      <c r="I757" s="178"/>
      <c r="J757" s="178"/>
      <c r="K757" s="179"/>
      <c r="L757" s="348" t="s">
        <v>265</v>
      </c>
      <c r="M757" s="348"/>
      <c r="N757" s="347" t="s">
        <v>324</v>
      </c>
      <c r="O757" s="347" t="s">
        <v>324</v>
      </c>
    </row>
    <row r="758" spans="1:15" ht="18.75" customHeight="1">
      <c r="A758" s="314" t="s">
        <v>52</v>
      </c>
      <c r="B758" s="314"/>
      <c r="C758" s="112">
        <f aca="true" t="shared" si="215" ref="C758:K758">SUM(C759:C763)</f>
        <v>3931.48679</v>
      </c>
      <c r="D758" s="112">
        <f t="shared" si="215"/>
        <v>161.5</v>
      </c>
      <c r="E758" s="112">
        <f t="shared" si="215"/>
        <v>169.98679</v>
      </c>
      <c r="F758" s="112">
        <f t="shared" si="215"/>
        <v>300</v>
      </c>
      <c r="G758" s="28">
        <f t="shared" si="215"/>
        <v>300</v>
      </c>
      <c r="H758" s="28">
        <f t="shared" si="209"/>
        <v>1500</v>
      </c>
      <c r="I758" s="112">
        <f t="shared" si="215"/>
        <v>500</v>
      </c>
      <c r="J758" s="112">
        <f t="shared" si="215"/>
        <v>500</v>
      </c>
      <c r="K758" s="112">
        <f t="shared" si="215"/>
        <v>500</v>
      </c>
      <c r="L758" s="348"/>
      <c r="M758" s="348"/>
      <c r="N758" s="347"/>
      <c r="O758" s="347"/>
    </row>
    <row r="759" spans="1:15" ht="15" customHeight="1">
      <c r="A759" s="314" t="s">
        <v>45</v>
      </c>
      <c r="B759" s="314"/>
      <c r="C759" s="112">
        <f>SUM(E759:G759)</f>
        <v>0</v>
      </c>
      <c r="D759" s="112">
        <v>0</v>
      </c>
      <c r="E759" s="112">
        <v>0</v>
      </c>
      <c r="F759" s="112">
        <v>0</v>
      </c>
      <c r="G759" s="28">
        <v>0</v>
      </c>
      <c r="H759" s="28">
        <f t="shared" si="209"/>
        <v>0</v>
      </c>
      <c r="I759" s="112">
        <v>0</v>
      </c>
      <c r="J759" s="112">
        <v>0</v>
      </c>
      <c r="K759" s="112">
        <v>0</v>
      </c>
      <c r="L759" s="348"/>
      <c r="M759" s="348"/>
      <c r="N759" s="347"/>
      <c r="O759" s="347"/>
    </row>
    <row r="760" spans="1:15" ht="15" customHeight="1">
      <c r="A760" s="314" t="s">
        <v>46</v>
      </c>
      <c r="B760" s="314"/>
      <c r="C760" s="112">
        <f>SUM(D760:K760)</f>
        <v>3931.48679</v>
      </c>
      <c r="D760" s="112">
        <v>161.5</v>
      </c>
      <c r="E760" s="112">
        <v>169.98679</v>
      </c>
      <c r="F760" s="112">
        <v>300</v>
      </c>
      <c r="G760" s="28">
        <v>300</v>
      </c>
      <c r="H760" s="28">
        <f t="shared" si="209"/>
        <v>1500</v>
      </c>
      <c r="I760" s="112">
        <v>500</v>
      </c>
      <c r="J760" s="112">
        <v>500</v>
      </c>
      <c r="K760" s="112">
        <v>500</v>
      </c>
      <c r="L760" s="348"/>
      <c r="M760" s="348"/>
      <c r="N760" s="347"/>
      <c r="O760" s="347"/>
    </row>
    <row r="761" spans="1:15" ht="15" customHeight="1">
      <c r="A761" s="314" t="s">
        <v>47</v>
      </c>
      <c r="B761" s="314"/>
      <c r="C761" s="112">
        <f>SUM(E761:G761)</f>
        <v>0</v>
      </c>
      <c r="D761" s="112">
        <v>0</v>
      </c>
      <c r="E761" s="112">
        <v>0</v>
      </c>
      <c r="F761" s="112">
        <v>0</v>
      </c>
      <c r="G761" s="28">
        <v>0</v>
      </c>
      <c r="H761" s="28">
        <f t="shared" si="209"/>
        <v>0</v>
      </c>
      <c r="I761" s="112">
        <v>0</v>
      </c>
      <c r="J761" s="112">
        <v>0</v>
      </c>
      <c r="K761" s="112">
        <v>0</v>
      </c>
      <c r="L761" s="348"/>
      <c r="M761" s="348"/>
      <c r="N761" s="347"/>
      <c r="O761" s="347"/>
    </row>
    <row r="762" spans="1:15" ht="15" customHeight="1">
      <c r="A762" s="314" t="s">
        <v>48</v>
      </c>
      <c r="B762" s="314"/>
      <c r="C762" s="112">
        <f>SUM(E762:G762)</f>
        <v>0</v>
      </c>
      <c r="D762" s="112">
        <v>0</v>
      </c>
      <c r="E762" s="112">
        <v>0</v>
      </c>
      <c r="F762" s="112">
        <v>0</v>
      </c>
      <c r="G762" s="28">
        <v>0</v>
      </c>
      <c r="H762" s="28">
        <f t="shared" si="209"/>
        <v>0</v>
      </c>
      <c r="I762" s="112">
        <v>0</v>
      </c>
      <c r="J762" s="112">
        <v>0</v>
      </c>
      <c r="K762" s="112">
        <v>0</v>
      </c>
      <c r="L762" s="348"/>
      <c r="M762" s="348"/>
      <c r="N762" s="347"/>
      <c r="O762" s="347"/>
    </row>
    <row r="763" spans="1:15" ht="15" customHeight="1">
      <c r="A763" s="314" t="s">
        <v>49</v>
      </c>
      <c r="B763" s="314"/>
      <c r="C763" s="112">
        <f>SUM(E763:G763)</f>
        <v>0</v>
      </c>
      <c r="D763" s="112">
        <v>0</v>
      </c>
      <c r="E763" s="112">
        <v>0</v>
      </c>
      <c r="F763" s="112">
        <v>0</v>
      </c>
      <c r="G763" s="28">
        <v>0</v>
      </c>
      <c r="H763" s="28">
        <f t="shared" si="209"/>
        <v>0</v>
      </c>
      <c r="I763" s="112">
        <v>0</v>
      </c>
      <c r="J763" s="112">
        <v>0</v>
      </c>
      <c r="K763" s="112">
        <v>0</v>
      </c>
      <c r="L763" s="348"/>
      <c r="M763" s="348"/>
      <c r="N763" s="347"/>
      <c r="O763" s="347"/>
    </row>
    <row r="764" spans="1:15" ht="87.75" customHeight="1">
      <c r="A764" s="334" t="s">
        <v>290</v>
      </c>
      <c r="B764" s="336"/>
      <c r="C764" s="180"/>
      <c r="D764" s="180"/>
      <c r="E764" s="180"/>
      <c r="F764" s="180"/>
      <c r="G764" s="180"/>
      <c r="H764" s="28"/>
      <c r="I764" s="180"/>
      <c r="J764" s="180"/>
      <c r="K764" s="180"/>
      <c r="L764" s="348" t="s">
        <v>265</v>
      </c>
      <c r="M764" s="348"/>
      <c r="N764" s="303" t="s">
        <v>315</v>
      </c>
      <c r="O764" s="303" t="s">
        <v>251</v>
      </c>
    </row>
    <row r="765" spans="1:15" ht="16.5" customHeight="1">
      <c r="A765" s="314" t="s">
        <v>52</v>
      </c>
      <c r="B765" s="314"/>
      <c r="C765" s="112">
        <f aca="true" t="shared" si="216" ref="C765:K765">SUM(C766:C770)</f>
        <v>2040.91895</v>
      </c>
      <c r="D765" s="112">
        <f t="shared" si="216"/>
        <v>160</v>
      </c>
      <c r="E765" s="112">
        <f t="shared" si="216"/>
        <v>170</v>
      </c>
      <c r="F765" s="112">
        <f t="shared" si="216"/>
        <v>812.91895</v>
      </c>
      <c r="G765" s="28">
        <f t="shared" si="216"/>
        <v>98</v>
      </c>
      <c r="H765" s="28">
        <f t="shared" si="209"/>
        <v>400</v>
      </c>
      <c r="I765" s="112">
        <f t="shared" si="216"/>
        <v>200</v>
      </c>
      <c r="J765" s="112">
        <f t="shared" si="216"/>
        <v>100</v>
      </c>
      <c r="K765" s="112">
        <f t="shared" si="216"/>
        <v>100</v>
      </c>
      <c r="L765" s="348"/>
      <c r="M765" s="348"/>
      <c r="N765" s="304"/>
      <c r="O765" s="304"/>
    </row>
    <row r="766" spans="1:15" ht="15" customHeight="1">
      <c r="A766" s="314" t="s">
        <v>45</v>
      </c>
      <c r="B766" s="314"/>
      <c r="C766" s="112">
        <f>SUM(E766:G766)</f>
        <v>0</v>
      </c>
      <c r="D766" s="112">
        <v>0</v>
      </c>
      <c r="E766" s="112">
        <v>0</v>
      </c>
      <c r="F766" s="112">
        <v>0</v>
      </c>
      <c r="G766" s="28">
        <v>0</v>
      </c>
      <c r="H766" s="28">
        <f t="shared" si="209"/>
        <v>0</v>
      </c>
      <c r="I766" s="112">
        <v>0</v>
      </c>
      <c r="J766" s="112">
        <v>0</v>
      </c>
      <c r="K766" s="112">
        <v>0</v>
      </c>
      <c r="L766" s="348"/>
      <c r="M766" s="348"/>
      <c r="N766" s="304"/>
      <c r="O766" s="304"/>
    </row>
    <row r="767" spans="1:15" ht="15" customHeight="1">
      <c r="A767" s="314" t="s">
        <v>46</v>
      </c>
      <c r="B767" s="314"/>
      <c r="C767" s="112">
        <f>SUM(D767:K767)</f>
        <v>2040.91895</v>
      </c>
      <c r="D767" s="112">
        <v>160</v>
      </c>
      <c r="E767" s="112">
        <v>170</v>
      </c>
      <c r="F767" s="112">
        <v>812.91895</v>
      </c>
      <c r="G767" s="28">
        <v>98</v>
      </c>
      <c r="H767" s="28">
        <f t="shared" si="209"/>
        <v>400</v>
      </c>
      <c r="I767" s="112">
        <v>200</v>
      </c>
      <c r="J767" s="112">
        <v>100</v>
      </c>
      <c r="K767" s="112">
        <v>100</v>
      </c>
      <c r="L767" s="348"/>
      <c r="M767" s="348"/>
      <c r="N767" s="304"/>
      <c r="O767" s="304"/>
    </row>
    <row r="768" spans="1:15" ht="15" customHeight="1">
      <c r="A768" s="314" t="s">
        <v>47</v>
      </c>
      <c r="B768" s="314"/>
      <c r="C768" s="112">
        <f>SUM(E768:G768)</f>
        <v>0</v>
      </c>
      <c r="D768" s="112">
        <v>0</v>
      </c>
      <c r="E768" s="112">
        <v>0</v>
      </c>
      <c r="F768" s="112">
        <v>0</v>
      </c>
      <c r="G768" s="28">
        <v>0</v>
      </c>
      <c r="H768" s="28">
        <f t="shared" si="209"/>
        <v>0</v>
      </c>
      <c r="I768" s="112">
        <v>0</v>
      </c>
      <c r="J768" s="112">
        <v>0</v>
      </c>
      <c r="K768" s="112">
        <v>0</v>
      </c>
      <c r="L768" s="348"/>
      <c r="M768" s="348"/>
      <c r="N768" s="304"/>
      <c r="O768" s="304"/>
    </row>
    <row r="769" spans="1:15" ht="15" customHeight="1">
      <c r="A769" s="314" t="s">
        <v>48</v>
      </c>
      <c r="B769" s="314"/>
      <c r="C769" s="112">
        <f>SUM(E769:G769)</f>
        <v>0</v>
      </c>
      <c r="D769" s="112">
        <v>0</v>
      </c>
      <c r="E769" s="112">
        <v>0</v>
      </c>
      <c r="F769" s="112">
        <v>0</v>
      </c>
      <c r="G769" s="28">
        <v>0</v>
      </c>
      <c r="H769" s="28">
        <f t="shared" si="209"/>
        <v>0</v>
      </c>
      <c r="I769" s="112">
        <v>0</v>
      </c>
      <c r="J769" s="112">
        <v>0</v>
      </c>
      <c r="K769" s="112">
        <v>0</v>
      </c>
      <c r="L769" s="348"/>
      <c r="M769" s="348"/>
      <c r="N769" s="304"/>
      <c r="O769" s="304"/>
    </row>
    <row r="770" spans="1:15" ht="15" customHeight="1">
      <c r="A770" s="314" t="s">
        <v>49</v>
      </c>
      <c r="B770" s="314"/>
      <c r="C770" s="112">
        <f>SUM(E770:G770)</f>
        <v>0</v>
      </c>
      <c r="D770" s="112">
        <v>0</v>
      </c>
      <c r="E770" s="112">
        <v>0</v>
      </c>
      <c r="F770" s="112">
        <v>0</v>
      </c>
      <c r="G770" s="28">
        <v>0</v>
      </c>
      <c r="H770" s="28">
        <f t="shared" si="209"/>
        <v>0</v>
      </c>
      <c r="I770" s="112">
        <v>0</v>
      </c>
      <c r="J770" s="112">
        <v>0</v>
      </c>
      <c r="K770" s="112">
        <v>0</v>
      </c>
      <c r="L770" s="348"/>
      <c r="M770" s="348"/>
      <c r="N770" s="305"/>
      <c r="O770" s="305"/>
    </row>
    <row r="771" spans="1:15" ht="23.25" customHeight="1">
      <c r="A771" s="334" t="s">
        <v>291</v>
      </c>
      <c r="B771" s="336"/>
      <c r="C771" s="180"/>
      <c r="D771" s="180"/>
      <c r="E771" s="180"/>
      <c r="F771" s="180"/>
      <c r="G771" s="180"/>
      <c r="H771" s="28"/>
      <c r="I771" s="180"/>
      <c r="J771" s="180"/>
      <c r="K771" s="180"/>
      <c r="L771" s="348" t="s">
        <v>265</v>
      </c>
      <c r="M771" s="348"/>
      <c r="N771" s="347"/>
      <c r="O771" s="347"/>
    </row>
    <row r="772" spans="1:15" ht="15" customHeight="1">
      <c r="A772" s="314" t="s">
        <v>52</v>
      </c>
      <c r="B772" s="314"/>
      <c r="C772" s="112">
        <f aca="true" t="shared" si="217" ref="C772:K772">SUM(C773:C777)</f>
        <v>479.47735</v>
      </c>
      <c r="D772" s="112">
        <f t="shared" si="217"/>
        <v>179.5</v>
      </c>
      <c r="E772" s="112">
        <f t="shared" si="217"/>
        <v>199.97735</v>
      </c>
      <c r="F772" s="112">
        <f t="shared" si="217"/>
        <v>100</v>
      </c>
      <c r="G772" s="28">
        <f t="shared" si="217"/>
        <v>0</v>
      </c>
      <c r="H772" s="28">
        <f t="shared" si="209"/>
        <v>0</v>
      </c>
      <c r="I772" s="112">
        <f t="shared" si="217"/>
        <v>0</v>
      </c>
      <c r="J772" s="112">
        <f t="shared" si="217"/>
        <v>0</v>
      </c>
      <c r="K772" s="112">
        <f t="shared" si="217"/>
        <v>0</v>
      </c>
      <c r="L772" s="348"/>
      <c r="M772" s="348"/>
      <c r="N772" s="347"/>
      <c r="O772" s="347"/>
    </row>
    <row r="773" spans="1:15" ht="15" customHeight="1">
      <c r="A773" s="314" t="s">
        <v>45</v>
      </c>
      <c r="B773" s="314"/>
      <c r="C773" s="112">
        <f>SUM(E773:G773)</f>
        <v>0</v>
      </c>
      <c r="D773" s="112">
        <v>0</v>
      </c>
      <c r="E773" s="112">
        <v>0</v>
      </c>
      <c r="F773" s="112">
        <v>0</v>
      </c>
      <c r="G773" s="28">
        <v>0</v>
      </c>
      <c r="H773" s="28">
        <f t="shared" si="209"/>
        <v>0</v>
      </c>
      <c r="I773" s="112">
        <v>0</v>
      </c>
      <c r="J773" s="112">
        <v>0</v>
      </c>
      <c r="K773" s="112">
        <v>0</v>
      </c>
      <c r="L773" s="348"/>
      <c r="M773" s="348"/>
      <c r="N773" s="347"/>
      <c r="O773" s="347"/>
    </row>
    <row r="774" spans="1:15" ht="15" customHeight="1">
      <c r="A774" s="314" t="s">
        <v>46</v>
      </c>
      <c r="B774" s="314"/>
      <c r="C774" s="112">
        <f>SUM(D774:K774)</f>
        <v>479.47735</v>
      </c>
      <c r="D774" s="112">
        <v>179.5</v>
      </c>
      <c r="E774" s="112">
        <v>199.97735</v>
      </c>
      <c r="F774" s="112">
        <v>100</v>
      </c>
      <c r="G774" s="28">
        <v>0</v>
      </c>
      <c r="H774" s="28">
        <f t="shared" si="209"/>
        <v>0</v>
      </c>
      <c r="I774" s="112">
        <v>0</v>
      </c>
      <c r="J774" s="112">
        <v>0</v>
      </c>
      <c r="K774" s="112">
        <v>0</v>
      </c>
      <c r="L774" s="348"/>
      <c r="M774" s="348"/>
      <c r="N774" s="347"/>
      <c r="O774" s="347"/>
    </row>
    <row r="775" spans="1:15" ht="27" customHeight="1">
      <c r="A775" s="314" t="s">
        <v>47</v>
      </c>
      <c r="B775" s="314"/>
      <c r="C775" s="112">
        <f>SUM(E775:G775)</f>
        <v>0</v>
      </c>
      <c r="D775" s="112">
        <v>0</v>
      </c>
      <c r="E775" s="112">
        <v>0</v>
      </c>
      <c r="F775" s="112">
        <v>0</v>
      </c>
      <c r="G775" s="28">
        <v>0</v>
      </c>
      <c r="H775" s="28">
        <f t="shared" si="209"/>
        <v>0</v>
      </c>
      <c r="I775" s="112">
        <v>0</v>
      </c>
      <c r="J775" s="112">
        <v>0</v>
      </c>
      <c r="K775" s="112">
        <v>0</v>
      </c>
      <c r="L775" s="348"/>
      <c r="M775" s="348"/>
      <c r="N775" s="347"/>
      <c r="O775" s="347"/>
    </row>
    <row r="776" spans="1:15" ht="15" customHeight="1">
      <c r="A776" s="314" t="s">
        <v>48</v>
      </c>
      <c r="B776" s="314"/>
      <c r="C776" s="112">
        <f>SUM(E776:G776)</f>
        <v>0</v>
      </c>
      <c r="D776" s="112">
        <v>0</v>
      </c>
      <c r="E776" s="112">
        <v>0</v>
      </c>
      <c r="F776" s="112">
        <v>0</v>
      </c>
      <c r="G776" s="28">
        <v>0</v>
      </c>
      <c r="H776" s="28">
        <f t="shared" si="209"/>
        <v>0</v>
      </c>
      <c r="I776" s="112">
        <v>0</v>
      </c>
      <c r="J776" s="112">
        <v>0</v>
      </c>
      <c r="K776" s="112">
        <v>0</v>
      </c>
      <c r="L776" s="348"/>
      <c r="M776" s="348"/>
      <c r="N776" s="347"/>
      <c r="O776" s="347"/>
    </row>
    <row r="777" spans="1:15" ht="15" customHeight="1">
      <c r="A777" s="314" t="s">
        <v>49</v>
      </c>
      <c r="B777" s="314"/>
      <c r="C777" s="112">
        <f>SUM(E777:G777)</f>
        <v>0</v>
      </c>
      <c r="D777" s="112">
        <v>0</v>
      </c>
      <c r="E777" s="112">
        <v>0</v>
      </c>
      <c r="F777" s="112">
        <v>0</v>
      </c>
      <c r="G777" s="28">
        <v>0</v>
      </c>
      <c r="H777" s="28">
        <f t="shared" si="209"/>
        <v>0</v>
      </c>
      <c r="I777" s="112">
        <v>0</v>
      </c>
      <c r="J777" s="112">
        <v>0</v>
      </c>
      <c r="K777" s="112">
        <v>0</v>
      </c>
      <c r="L777" s="348"/>
      <c r="M777" s="348"/>
      <c r="N777" s="347"/>
      <c r="O777" s="347"/>
    </row>
    <row r="778" spans="1:15" ht="20.25" customHeight="1">
      <c r="A778" s="334" t="s">
        <v>292</v>
      </c>
      <c r="B778" s="336"/>
      <c r="C778" s="180"/>
      <c r="D778" s="180"/>
      <c r="E778" s="180"/>
      <c r="F778" s="180"/>
      <c r="G778" s="180"/>
      <c r="H778" s="28"/>
      <c r="I778" s="180"/>
      <c r="J778" s="180"/>
      <c r="K778" s="180"/>
      <c r="L778" s="348" t="s">
        <v>265</v>
      </c>
      <c r="M778" s="348"/>
      <c r="N778" s="303" t="s">
        <v>348</v>
      </c>
      <c r="O778" s="303" t="s">
        <v>348</v>
      </c>
    </row>
    <row r="779" spans="1:15" ht="15" customHeight="1">
      <c r="A779" s="314" t="s">
        <v>52</v>
      </c>
      <c r="B779" s="314"/>
      <c r="C779" s="112">
        <f aca="true" t="shared" si="218" ref="C779:K779">SUM(C780:C784)</f>
        <v>1668.55</v>
      </c>
      <c r="D779" s="112">
        <f t="shared" si="218"/>
        <v>200</v>
      </c>
      <c r="E779" s="112">
        <f t="shared" si="218"/>
        <v>200</v>
      </c>
      <c r="F779" s="112">
        <f t="shared" si="218"/>
        <v>218.55</v>
      </c>
      <c r="G779" s="28">
        <f t="shared" si="218"/>
        <v>150</v>
      </c>
      <c r="H779" s="28">
        <f t="shared" si="209"/>
        <v>450</v>
      </c>
      <c r="I779" s="112">
        <f t="shared" si="218"/>
        <v>150</v>
      </c>
      <c r="J779" s="112">
        <f t="shared" si="218"/>
        <v>150</v>
      </c>
      <c r="K779" s="112">
        <f t="shared" si="218"/>
        <v>150</v>
      </c>
      <c r="L779" s="348"/>
      <c r="M779" s="348"/>
      <c r="N779" s="304"/>
      <c r="O779" s="304"/>
    </row>
    <row r="780" spans="1:15" ht="15" customHeight="1">
      <c r="A780" s="314" t="s">
        <v>45</v>
      </c>
      <c r="B780" s="314"/>
      <c r="C780" s="112">
        <f>SUM(E780:G780)</f>
        <v>0</v>
      </c>
      <c r="D780" s="112">
        <v>0</v>
      </c>
      <c r="E780" s="112">
        <v>0</v>
      </c>
      <c r="F780" s="112">
        <v>0</v>
      </c>
      <c r="G780" s="28">
        <v>0</v>
      </c>
      <c r="H780" s="28">
        <f t="shared" si="209"/>
        <v>0</v>
      </c>
      <c r="I780" s="112">
        <v>0</v>
      </c>
      <c r="J780" s="112">
        <v>0</v>
      </c>
      <c r="K780" s="112">
        <v>0</v>
      </c>
      <c r="L780" s="348"/>
      <c r="M780" s="348"/>
      <c r="N780" s="304"/>
      <c r="O780" s="304"/>
    </row>
    <row r="781" spans="1:15" ht="15" customHeight="1">
      <c r="A781" s="314" t="s">
        <v>46</v>
      </c>
      <c r="B781" s="314"/>
      <c r="C781" s="112">
        <f>SUM(D781:K781)</f>
        <v>1668.55</v>
      </c>
      <c r="D781" s="112">
        <v>200</v>
      </c>
      <c r="E781" s="112">
        <v>200</v>
      </c>
      <c r="F781" s="112">
        <v>218.55</v>
      </c>
      <c r="G781" s="28">
        <v>150</v>
      </c>
      <c r="H781" s="28">
        <f t="shared" si="209"/>
        <v>450</v>
      </c>
      <c r="I781" s="112">
        <v>150</v>
      </c>
      <c r="J781" s="112">
        <v>150</v>
      </c>
      <c r="K781" s="112">
        <v>150</v>
      </c>
      <c r="L781" s="348"/>
      <c r="M781" s="348"/>
      <c r="N781" s="304"/>
      <c r="O781" s="304"/>
    </row>
    <row r="782" spans="1:15" ht="24.75" customHeight="1">
      <c r="A782" s="314" t="s">
        <v>47</v>
      </c>
      <c r="B782" s="314"/>
      <c r="C782" s="112">
        <f>SUM(E782:G782)</f>
        <v>0</v>
      </c>
      <c r="D782" s="112">
        <v>0</v>
      </c>
      <c r="E782" s="112">
        <v>0</v>
      </c>
      <c r="F782" s="112">
        <v>0</v>
      </c>
      <c r="G782" s="28">
        <v>0</v>
      </c>
      <c r="H782" s="28">
        <f t="shared" si="209"/>
        <v>0</v>
      </c>
      <c r="I782" s="112">
        <v>0</v>
      </c>
      <c r="J782" s="112">
        <v>0</v>
      </c>
      <c r="K782" s="112">
        <v>0</v>
      </c>
      <c r="L782" s="348"/>
      <c r="M782" s="348"/>
      <c r="N782" s="304"/>
      <c r="O782" s="304"/>
    </row>
    <row r="783" spans="1:15" ht="15" customHeight="1">
      <c r="A783" s="314" t="s">
        <v>48</v>
      </c>
      <c r="B783" s="314"/>
      <c r="C783" s="112">
        <f>SUM(E783:G783)</f>
        <v>0</v>
      </c>
      <c r="D783" s="112">
        <v>0</v>
      </c>
      <c r="E783" s="112">
        <v>0</v>
      </c>
      <c r="F783" s="112">
        <v>0</v>
      </c>
      <c r="G783" s="28">
        <v>0</v>
      </c>
      <c r="H783" s="28">
        <f aca="true" t="shared" si="219" ref="H783:H846">I783+J783+K783</f>
        <v>0</v>
      </c>
      <c r="I783" s="112">
        <v>0</v>
      </c>
      <c r="J783" s="112">
        <v>0</v>
      </c>
      <c r="K783" s="112">
        <v>0</v>
      </c>
      <c r="L783" s="348"/>
      <c r="M783" s="348"/>
      <c r="N783" s="304"/>
      <c r="O783" s="304"/>
    </row>
    <row r="784" spans="1:15" ht="15" customHeight="1">
      <c r="A784" s="314" t="s">
        <v>49</v>
      </c>
      <c r="B784" s="314"/>
      <c r="C784" s="112">
        <f>SUM(E784:G784)</f>
        <v>0</v>
      </c>
      <c r="D784" s="112">
        <v>0</v>
      </c>
      <c r="E784" s="112">
        <v>0</v>
      </c>
      <c r="F784" s="112">
        <v>0</v>
      </c>
      <c r="G784" s="28">
        <v>0</v>
      </c>
      <c r="H784" s="28">
        <f t="shared" si="219"/>
        <v>0</v>
      </c>
      <c r="I784" s="112">
        <v>0</v>
      </c>
      <c r="J784" s="112">
        <v>0</v>
      </c>
      <c r="K784" s="112">
        <v>0</v>
      </c>
      <c r="L784" s="348"/>
      <c r="M784" s="348"/>
      <c r="N784" s="305"/>
      <c r="O784" s="305"/>
    </row>
    <row r="785" spans="1:15" ht="26.25" customHeight="1">
      <c r="A785" s="334" t="s">
        <v>293</v>
      </c>
      <c r="B785" s="336"/>
      <c r="C785" s="181"/>
      <c r="D785" s="181"/>
      <c r="E785" s="181"/>
      <c r="F785" s="181"/>
      <c r="G785" s="181"/>
      <c r="H785" s="28"/>
      <c r="I785" s="181"/>
      <c r="J785" s="181"/>
      <c r="K785" s="181"/>
      <c r="L785" s="348" t="s">
        <v>265</v>
      </c>
      <c r="M785" s="348"/>
      <c r="N785" s="347" t="s">
        <v>251</v>
      </c>
      <c r="O785" s="347" t="s">
        <v>251</v>
      </c>
    </row>
    <row r="786" spans="1:15" ht="15" customHeight="1">
      <c r="A786" s="314" t="s">
        <v>52</v>
      </c>
      <c r="B786" s="314"/>
      <c r="C786" s="112">
        <f aca="true" t="shared" si="220" ref="C786:K786">SUM(C787:C791)</f>
        <v>3070</v>
      </c>
      <c r="D786" s="112">
        <f t="shared" si="220"/>
        <v>440</v>
      </c>
      <c r="E786" s="112">
        <f t="shared" si="220"/>
        <v>450</v>
      </c>
      <c r="F786" s="112">
        <f t="shared" si="220"/>
        <v>400</v>
      </c>
      <c r="G786" s="28">
        <f t="shared" si="220"/>
        <v>400</v>
      </c>
      <c r="H786" s="28">
        <f t="shared" si="219"/>
        <v>690</v>
      </c>
      <c r="I786" s="112">
        <f t="shared" si="220"/>
        <v>230</v>
      </c>
      <c r="J786" s="112">
        <f t="shared" si="220"/>
        <v>230</v>
      </c>
      <c r="K786" s="112">
        <f t="shared" si="220"/>
        <v>230</v>
      </c>
      <c r="L786" s="348"/>
      <c r="M786" s="348"/>
      <c r="N786" s="347"/>
      <c r="O786" s="347"/>
    </row>
    <row r="787" spans="1:15" ht="15" customHeight="1">
      <c r="A787" s="314" t="s">
        <v>45</v>
      </c>
      <c r="B787" s="314"/>
      <c r="C787" s="112">
        <f>SUM(E787:G787)</f>
        <v>0</v>
      </c>
      <c r="D787" s="112">
        <v>0</v>
      </c>
      <c r="E787" s="112">
        <v>0</v>
      </c>
      <c r="F787" s="112">
        <v>0</v>
      </c>
      <c r="G787" s="28">
        <v>0</v>
      </c>
      <c r="H787" s="28">
        <f t="shared" si="219"/>
        <v>0</v>
      </c>
      <c r="I787" s="112">
        <v>0</v>
      </c>
      <c r="J787" s="112">
        <v>0</v>
      </c>
      <c r="K787" s="112">
        <v>0</v>
      </c>
      <c r="L787" s="348"/>
      <c r="M787" s="348"/>
      <c r="N787" s="347"/>
      <c r="O787" s="347"/>
    </row>
    <row r="788" spans="1:15" ht="15" customHeight="1">
      <c r="A788" s="314" t="s">
        <v>46</v>
      </c>
      <c r="B788" s="314"/>
      <c r="C788" s="112">
        <f>SUM(D788:K788)</f>
        <v>3070</v>
      </c>
      <c r="D788" s="112">
        <v>440</v>
      </c>
      <c r="E788" s="112">
        <v>450</v>
      </c>
      <c r="F788" s="112">
        <v>400</v>
      </c>
      <c r="G788" s="28">
        <v>400</v>
      </c>
      <c r="H788" s="28">
        <f t="shared" si="219"/>
        <v>690</v>
      </c>
      <c r="I788" s="112">
        <v>230</v>
      </c>
      <c r="J788" s="112">
        <v>230</v>
      </c>
      <c r="K788" s="112">
        <v>230</v>
      </c>
      <c r="L788" s="348"/>
      <c r="M788" s="348"/>
      <c r="N788" s="347"/>
      <c r="O788" s="347"/>
    </row>
    <row r="789" spans="1:15" ht="26.25" customHeight="1">
      <c r="A789" s="314" t="s">
        <v>47</v>
      </c>
      <c r="B789" s="314"/>
      <c r="C789" s="112">
        <f>SUM(E789:G789)</f>
        <v>0</v>
      </c>
      <c r="D789" s="112">
        <v>0</v>
      </c>
      <c r="E789" s="112">
        <v>0</v>
      </c>
      <c r="F789" s="112">
        <v>0</v>
      </c>
      <c r="G789" s="28">
        <v>0</v>
      </c>
      <c r="H789" s="28">
        <f t="shared" si="219"/>
        <v>0</v>
      </c>
      <c r="I789" s="112">
        <v>0</v>
      </c>
      <c r="J789" s="112">
        <v>0</v>
      </c>
      <c r="K789" s="112">
        <v>0</v>
      </c>
      <c r="L789" s="348"/>
      <c r="M789" s="348"/>
      <c r="N789" s="347"/>
      <c r="O789" s="347"/>
    </row>
    <row r="790" spans="1:15" ht="15" customHeight="1">
      <c r="A790" s="314" t="s">
        <v>48</v>
      </c>
      <c r="B790" s="314"/>
      <c r="C790" s="112">
        <f>SUM(E790:G790)</f>
        <v>0</v>
      </c>
      <c r="D790" s="112">
        <v>0</v>
      </c>
      <c r="E790" s="112">
        <v>0</v>
      </c>
      <c r="F790" s="112">
        <v>0</v>
      </c>
      <c r="G790" s="28">
        <v>0</v>
      </c>
      <c r="H790" s="28">
        <f t="shared" si="219"/>
        <v>0</v>
      </c>
      <c r="I790" s="112">
        <v>0</v>
      </c>
      <c r="J790" s="112">
        <v>0</v>
      </c>
      <c r="K790" s="112">
        <v>0</v>
      </c>
      <c r="L790" s="348"/>
      <c r="M790" s="348"/>
      <c r="N790" s="347"/>
      <c r="O790" s="347"/>
    </row>
    <row r="791" spans="1:15" ht="15" customHeight="1">
      <c r="A791" s="314" t="s">
        <v>49</v>
      </c>
      <c r="B791" s="314"/>
      <c r="C791" s="112">
        <f>SUM(E791:G791)</f>
        <v>0</v>
      </c>
      <c r="D791" s="112">
        <v>0</v>
      </c>
      <c r="E791" s="112">
        <v>0</v>
      </c>
      <c r="F791" s="112">
        <v>0</v>
      </c>
      <c r="G791" s="28">
        <v>0</v>
      </c>
      <c r="H791" s="28">
        <f t="shared" si="219"/>
        <v>0</v>
      </c>
      <c r="I791" s="112">
        <v>0</v>
      </c>
      <c r="J791" s="112">
        <v>0</v>
      </c>
      <c r="K791" s="112">
        <v>0</v>
      </c>
      <c r="L791" s="348"/>
      <c r="M791" s="348"/>
      <c r="N791" s="347"/>
      <c r="O791" s="347"/>
    </row>
    <row r="792" spans="1:15" ht="61.5" customHeight="1">
      <c r="A792" s="334" t="s">
        <v>294</v>
      </c>
      <c r="B792" s="336"/>
      <c r="C792" s="180"/>
      <c r="D792" s="180"/>
      <c r="E792" s="180"/>
      <c r="F792" s="180"/>
      <c r="G792" s="180"/>
      <c r="H792" s="28"/>
      <c r="I792" s="180"/>
      <c r="J792" s="180"/>
      <c r="K792" s="180"/>
      <c r="L792" s="348" t="s">
        <v>265</v>
      </c>
      <c r="M792" s="348"/>
      <c r="N792" s="303" t="s">
        <v>315</v>
      </c>
      <c r="O792" s="303" t="s">
        <v>251</v>
      </c>
    </row>
    <row r="793" spans="1:15" ht="15" customHeight="1">
      <c r="A793" s="314" t="s">
        <v>52</v>
      </c>
      <c r="B793" s="314"/>
      <c r="C793" s="112">
        <f aca="true" t="shared" si="221" ref="C793:K793">SUM(C795)</f>
        <v>2180</v>
      </c>
      <c r="D793" s="112">
        <f t="shared" si="221"/>
        <v>380</v>
      </c>
      <c r="E793" s="112">
        <f t="shared" si="221"/>
        <v>200</v>
      </c>
      <c r="F793" s="112">
        <f t="shared" si="221"/>
        <v>200</v>
      </c>
      <c r="G793" s="28">
        <f t="shared" si="221"/>
        <v>200</v>
      </c>
      <c r="H793" s="28">
        <f t="shared" si="219"/>
        <v>600</v>
      </c>
      <c r="I793" s="28">
        <f t="shared" si="221"/>
        <v>200</v>
      </c>
      <c r="J793" s="28">
        <f t="shared" si="221"/>
        <v>200</v>
      </c>
      <c r="K793" s="28">
        <f t="shared" si="221"/>
        <v>200</v>
      </c>
      <c r="L793" s="348"/>
      <c r="M793" s="348"/>
      <c r="N793" s="304"/>
      <c r="O793" s="304"/>
    </row>
    <row r="794" spans="1:15" ht="15" customHeight="1">
      <c r="A794" s="314" t="s">
        <v>45</v>
      </c>
      <c r="B794" s="314"/>
      <c r="C794" s="112">
        <f>SUM(E794:G794)</f>
        <v>0</v>
      </c>
      <c r="D794" s="112">
        <v>0</v>
      </c>
      <c r="E794" s="112">
        <v>0</v>
      </c>
      <c r="F794" s="112">
        <v>0</v>
      </c>
      <c r="G794" s="28">
        <v>0</v>
      </c>
      <c r="H794" s="28">
        <f t="shared" si="219"/>
        <v>0</v>
      </c>
      <c r="I794" s="112">
        <v>0</v>
      </c>
      <c r="J794" s="112">
        <v>0</v>
      </c>
      <c r="K794" s="112">
        <v>0</v>
      </c>
      <c r="L794" s="348"/>
      <c r="M794" s="348"/>
      <c r="N794" s="304"/>
      <c r="O794" s="304"/>
    </row>
    <row r="795" spans="1:15" ht="15" customHeight="1">
      <c r="A795" s="314" t="s">
        <v>46</v>
      </c>
      <c r="B795" s="314"/>
      <c r="C795" s="112">
        <f>SUM(D795:K795)</f>
        <v>2180</v>
      </c>
      <c r="D795" s="112">
        <v>380</v>
      </c>
      <c r="E795" s="112">
        <v>200</v>
      </c>
      <c r="F795" s="112">
        <v>200</v>
      </c>
      <c r="G795" s="28">
        <v>200</v>
      </c>
      <c r="H795" s="28">
        <f t="shared" si="219"/>
        <v>600</v>
      </c>
      <c r="I795" s="112">
        <v>200</v>
      </c>
      <c r="J795" s="112">
        <v>200</v>
      </c>
      <c r="K795" s="112">
        <v>200</v>
      </c>
      <c r="L795" s="348"/>
      <c r="M795" s="348"/>
      <c r="N795" s="304"/>
      <c r="O795" s="304"/>
    </row>
    <row r="796" spans="1:15" ht="18.75" customHeight="1">
      <c r="A796" s="314" t="s">
        <v>47</v>
      </c>
      <c r="B796" s="314"/>
      <c r="C796" s="112">
        <f>SUM(E796:G796)</f>
        <v>0</v>
      </c>
      <c r="D796" s="112">
        <v>0</v>
      </c>
      <c r="E796" s="112">
        <v>0</v>
      </c>
      <c r="F796" s="112">
        <v>0</v>
      </c>
      <c r="G796" s="28">
        <v>0</v>
      </c>
      <c r="H796" s="28">
        <f t="shared" si="219"/>
        <v>0</v>
      </c>
      <c r="I796" s="112">
        <v>0</v>
      </c>
      <c r="J796" s="112">
        <v>0</v>
      </c>
      <c r="K796" s="112">
        <v>0</v>
      </c>
      <c r="L796" s="348"/>
      <c r="M796" s="348"/>
      <c r="N796" s="304"/>
      <c r="O796" s="304"/>
    </row>
    <row r="797" spans="1:15" ht="15" customHeight="1">
      <c r="A797" s="314" t="s">
        <v>48</v>
      </c>
      <c r="B797" s="314"/>
      <c r="C797" s="112">
        <f>SUM(E797:G797)</f>
        <v>0</v>
      </c>
      <c r="D797" s="112">
        <v>0</v>
      </c>
      <c r="E797" s="112">
        <v>0</v>
      </c>
      <c r="F797" s="112">
        <v>0</v>
      </c>
      <c r="G797" s="28">
        <v>0</v>
      </c>
      <c r="H797" s="28">
        <f t="shared" si="219"/>
        <v>0</v>
      </c>
      <c r="I797" s="112">
        <v>0</v>
      </c>
      <c r="J797" s="112">
        <v>0</v>
      </c>
      <c r="K797" s="112">
        <v>0</v>
      </c>
      <c r="L797" s="348"/>
      <c r="M797" s="348"/>
      <c r="N797" s="304"/>
      <c r="O797" s="304"/>
    </row>
    <row r="798" spans="1:15" ht="15" customHeight="1">
      <c r="A798" s="314" t="s">
        <v>49</v>
      </c>
      <c r="B798" s="314"/>
      <c r="C798" s="112">
        <f>SUM(E798:G798)</f>
        <v>0</v>
      </c>
      <c r="D798" s="112">
        <v>0</v>
      </c>
      <c r="E798" s="112">
        <v>0</v>
      </c>
      <c r="F798" s="112">
        <v>0</v>
      </c>
      <c r="G798" s="28">
        <v>0</v>
      </c>
      <c r="H798" s="28">
        <f t="shared" si="219"/>
        <v>0</v>
      </c>
      <c r="I798" s="112">
        <v>0</v>
      </c>
      <c r="J798" s="112">
        <v>0</v>
      </c>
      <c r="K798" s="112">
        <v>0</v>
      </c>
      <c r="L798" s="348"/>
      <c r="M798" s="348"/>
      <c r="N798" s="305"/>
      <c r="O798" s="305"/>
    </row>
    <row r="799" spans="1:15" ht="36.75" customHeight="1">
      <c r="A799" s="334" t="s">
        <v>295</v>
      </c>
      <c r="B799" s="336"/>
      <c r="C799" s="180"/>
      <c r="D799" s="180"/>
      <c r="E799" s="180"/>
      <c r="F799" s="180"/>
      <c r="G799" s="180"/>
      <c r="H799" s="28"/>
      <c r="I799" s="180"/>
      <c r="J799" s="180"/>
      <c r="K799" s="180"/>
      <c r="L799" s="348" t="s">
        <v>265</v>
      </c>
      <c r="M799" s="348"/>
      <c r="N799" s="303" t="s">
        <v>315</v>
      </c>
      <c r="O799" s="303" t="s">
        <v>251</v>
      </c>
    </row>
    <row r="800" spans="1:15" ht="15" customHeight="1">
      <c r="A800" s="314" t="s">
        <v>52</v>
      </c>
      <c r="B800" s="314"/>
      <c r="C800" s="112">
        <f aca="true" t="shared" si="222" ref="C800:C805">SUM(D800:K800)</f>
        <v>512</v>
      </c>
      <c r="D800" s="112">
        <f aca="true" t="shared" si="223" ref="D800:K800">SUM(D802)</f>
        <v>212</v>
      </c>
      <c r="E800" s="112">
        <f t="shared" si="223"/>
        <v>0</v>
      </c>
      <c r="F800" s="112">
        <f t="shared" si="223"/>
        <v>0</v>
      </c>
      <c r="G800" s="28">
        <f t="shared" si="223"/>
        <v>0</v>
      </c>
      <c r="H800" s="28">
        <f t="shared" si="219"/>
        <v>150</v>
      </c>
      <c r="I800" s="28">
        <f t="shared" si="223"/>
        <v>50</v>
      </c>
      <c r="J800" s="28">
        <f t="shared" si="223"/>
        <v>50</v>
      </c>
      <c r="K800" s="28">
        <f t="shared" si="223"/>
        <v>50</v>
      </c>
      <c r="L800" s="348"/>
      <c r="M800" s="348"/>
      <c r="N800" s="304"/>
      <c r="O800" s="304"/>
    </row>
    <row r="801" spans="1:15" ht="15" customHeight="1">
      <c r="A801" s="314" t="s">
        <v>45</v>
      </c>
      <c r="B801" s="314"/>
      <c r="C801" s="112">
        <f t="shared" si="222"/>
        <v>0</v>
      </c>
      <c r="D801" s="112">
        <v>0</v>
      </c>
      <c r="E801" s="112">
        <v>0</v>
      </c>
      <c r="F801" s="112">
        <v>0</v>
      </c>
      <c r="G801" s="28">
        <v>0</v>
      </c>
      <c r="H801" s="28">
        <f t="shared" si="219"/>
        <v>0</v>
      </c>
      <c r="I801" s="112">
        <v>0</v>
      </c>
      <c r="J801" s="112">
        <v>0</v>
      </c>
      <c r="K801" s="112">
        <v>0</v>
      </c>
      <c r="L801" s="348"/>
      <c r="M801" s="348"/>
      <c r="N801" s="304"/>
      <c r="O801" s="304"/>
    </row>
    <row r="802" spans="1:15" ht="15" customHeight="1">
      <c r="A802" s="314" t="s">
        <v>46</v>
      </c>
      <c r="B802" s="314"/>
      <c r="C802" s="112">
        <f t="shared" si="222"/>
        <v>512</v>
      </c>
      <c r="D802" s="112">
        <v>212</v>
      </c>
      <c r="E802" s="112">
        <v>0</v>
      </c>
      <c r="F802" s="112">
        <v>0</v>
      </c>
      <c r="G802" s="28">
        <v>0</v>
      </c>
      <c r="H802" s="28">
        <f t="shared" si="219"/>
        <v>150</v>
      </c>
      <c r="I802" s="112">
        <v>50</v>
      </c>
      <c r="J802" s="112">
        <v>50</v>
      </c>
      <c r="K802" s="112">
        <v>50</v>
      </c>
      <c r="L802" s="348"/>
      <c r="M802" s="348"/>
      <c r="N802" s="304"/>
      <c r="O802" s="304"/>
    </row>
    <row r="803" spans="1:15" ht="15" customHeight="1">
      <c r="A803" s="314" t="s">
        <v>47</v>
      </c>
      <c r="B803" s="314"/>
      <c r="C803" s="112">
        <f t="shared" si="222"/>
        <v>0</v>
      </c>
      <c r="D803" s="112">
        <v>0</v>
      </c>
      <c r="E803" s="112">
        <v>0</v>
      </c>
      <c r="F803" s="112">
        <v>0</v>
      </c>
      <c r="G803" s="28">
        <v>0</v>
      </c>
      <c r="H803" s="28">
        <f t="shared" si="219"/>
        <v>0</v>
      </c>
      <c r="I803" s="112">
        <v>0</v>
      </c>
      <c r="J803" s="112">
        <v>0</v>
      </c>
      <c r="K803" s="112">
        <v>0</v>
      </c>
      <c r="L803" s="348"/>
      <c r="M803" s="348"/>
      <c r="N803" s="304"/>
      <c r="O803" s="304"/>
    </row>
    <row r="804" spans="1:15" ht="27" customHeight="1">
      <c r="A804" s="314" t="s">
        <v>48</v>
      </c>
      <c r="B804" s="314"/>
      <c r="C804" s="112">
        <f t="shared" si="222"/>
        <v>0</v>
      </c>
      <c r="D804" s="112">
        <v>0</v>
      </c>
      <c r="E804" s="112">
        <v>0</v>
      </c>
      <c r="F804" s="112">
        <v>0</v>
      </c>
      <c r="G804" s="28">
        <v>0</v>
      </c>
      <c r="H804" s="28">
        <f t="shared" si="219"/>
        <v>0</v>
      </c>
      <c r="I804" s="112">
        <v>0</v>
      </c>
      <c r="J804" s="112">
        <v>0</v>
      </c>
      <c r="K804" s="112">
        <v>0</v>
      </c>
      <c r="L804" s="348"/>
      <c r="M804" s="348"/>
      <c r="N804" s="304"/>
      <c r="O804" s="304"/>
    </row>
    <row r="805" spans="1:15" ht="15" customHeight="1">
      <c r="A805" s="314" t="s">
        <v>49</v>
      </c>
      <c r="B805" s="314"/>
      <c r="C805" s="112">
        <f t="shared" si="222"/>
        <v>0</v>
      </c>
      <c r="D805" s="112">
        <v>0</v>
      </c>
      <c r="E805" s="112">
        <v>0</v>
      </c>
      <c r="F805" s="112">
        <v>0</v>
      </c>
      <c r="G805" s="28">
        <v>0</v>
      </c>
      <c r="H805" s="28">
        <f t="shared" si="219"/>
        <v>0</v>
      </c>
      <c r="I805" s="112">
        <v>0</v>
      </c>
      <c r="J805" s="112">
        <v>0</v>
      </c>
      <c r="K805" s="112">
        <v>0</v>
      </c>
      <c r="L805" s="348"/>
      <c r="M805" s="348"/>
      <c r="N805" s="305"/>
      <c r="O805" s="305"/>
    </row>
    <row r="806" spans="1:15" ht="39" customHeight="1">
      <c r="A806" s="334" t="s">
        <v>296</v>
      </c>
      <c r="B806" s="336"/>
      <c r="C806" s="180"/>
      <c r="D806" s="180"/>
      <c r="E806" s="180"/>
      <c r="F806" s="180"/>
      <c r="G806" s="180"/>
      <c r="H806" s="28"/>
      <c r="I806" s="180"/>
      <c r="J806" s="180"/>
      <c r="K806" s="180"/>
      <c r="L806" s="348" t="s">
        <v>265</v>
      </c>
      <c r="M806" s="348"/>
      <c r="N806" s="303" t="s">
        <v>315</v>
      </c>
      <c r="O806" s="303" t="s">
        <v>251</v>
      </c>
    </row>
    <row r="807" spans="1:15" ht="15" customHeight="1">
      <c r="A807" s="314" t="s">
        <v>52</v>
      </c>
      <c r="B807" s="314"/>
      <c r="C807" s="112">
        <f aca="true" t="shared" si="224" ref="C807:C812">SUM(D807:K807)</f>
        <v>300</v>
      </c>
      <c r="D807" s="112">
        <v>0</v>
      </c>
      <c r="E807" s="112">
        <v>0</v>
      </c>
      <c r="F807" s="112">
        <v>0</v>
      </c>
      <c r="G807" s="112">
        <v>0</v>
      </c>
      <c r="H807" s="28">
        <f t="shared" si="219"/>
        <v>150</v>
      </c>
      <c r="I807" s="28">
        <f>SUM(I809)</f>
        <v>50</v>
      </c>
      <c r="J807" s="28">
        <f>SUM(J809)</f>
        <v>50</v>
      </c>
      <c r="K807" s="28">
        <f>SUM(K809)</f>
        <v>50</v>
      </c>
      <c r="L807" s="348"/>
      <c r="M807" s="348"/>
      <c r="N807" s="304"/>
      <c r="O807" s="304"/>
    </row>
    <row r="808" spans="1:15" ht="15" customHeight="1">
      <c r="A808" s="314" t="s">
        <v>45</v>
      </c>
      <c r="B808" s="314"/>
      <c r="C808" s="112">
        <f t="shared" si="224"/>
        <v>0</v>
      </c>
      <c r="D808" s="112">
        <v>0</v>
      </c>
      <c r="E808" s="112">
        <v>0</v>
      </c>
      <c r="F808" s="112">
        <v>0</v>
      </c>
      <c r="G808" s="28">
        <v>0</v>
      </c>
      <c r="H808" s="28">
        <f t="shared" si="219"/>
        <v>0</v>
      </c>
      <c r="I808" s="112">
        <v>0</v>
      </c>
      <c r="J808" s="112">
        <v>0</v>
      </c>
      <c r="K808" s="112">
        <v>0</v>
      </c>
      <c r="L808" s="348"/>
      <c r="M808" s="348"/>
      <c r="N808" s="304"/>
      <c r="O808" s="304"/>
    </row>
    <row r="809" spans="1:15" ht="15" customHeight="1">
      <c r="A809" s="314" t="s">
        <v>46</v>
      </c>
      <c r="B809" s="314"/>
      <c r="C809" s="112">
        <f t="shared" si="224"/>
        <v>300</v>
      </c>
      <c r="D809" s="112">
        <v>0</v>
      </c>
      <c r="E809" s="112">
        <v>0</v>
      </c>
      <c r="F809" s="112">
        <v>0</v>
      </c>
      <c r="G809" s="28">
        <v>0</v>
      </c>
      <c r="H809" s="28">
        <f t="shared" si="219"/>
        <v>150</v>
      </c>
      <c r="I809" s="112">
        <v>50</v>
      </c>
      <c r="J809" s="112">
        <v>50</v>
      </c>
      <c r="K809" s="112">
        <v>50</v>
      </c>
      <c r="L809" s="348"/>
      <c r="M809" s="348"/>
      <c r="N809" s="304"/>
      <c r="O809" s="304"/>
    </row>
    <row r="810" spans="1:15" ht="15" customHeight="1">
      <c r="A810" s="314" t="s">
        <v>47</v>
      </c>
      <c r="B810" s="314"/>
      <c r="C810" s="112">
        <f t="shared" si="224"/>
        <v>0</v>
      </c>
      <c r="D810" s="112">
        <v>0</v>
      </c>
      <c r="E810" s="112">
        <v>0</v>
      </c>
      <c r="F810" s="112">
        <v>0</v>
      </c>
      <c r="G810" s="28">
        <v>0</v>
      </c>
      <c r="H810" s="28">
        <f t="shared" si="219"/>
        <v>0</v>
      </c>
      <c r="I810" s="112">
        <v>0</v>
      </c>
      <c r="J810" s="112">
        <v>0</v>
      </c>
      <c r="K810" s="112">
        <v>0</v>
      </c>
      <c r="L810" s="348"/>
      <c r="M810" s="348"/>
      <c r="N810" s="304"/>
      <c r="O810" s="304"/>
    </row>
    <row r="811" spans="1:15" ht="31.5" customHeight="1">
      <c r="A811" s="314" t="s">
        <v>48</v>
      </c>
      <c r="B811" s="314"/>
      <c r="C811" s="112">
        <f t="shared" si="224"/>
        <v>0</v>
      </c>
      <c r="D811" s="112">
        <v>0</v>
      </c>
      <c r="E811" s="112">
        <v>0</v>
      </c>
      <c r="F811" s="112">
        <v>0</v>
      </c>
      <c r="G811" s="28">
        <v>0</v>
      </c>
      <c r="H811" s="28">
        <f t="shared" si="219"/>
        <v>0</v>
      </c>
      <c r="I811" s="112">
        <v>0</v>
      </c>
      <c r="J811" s="112">
        <v>0</v>
      </c>
      <c r="K811" s="112">
        <v>0</v>
      </c>
      <c r="L811" s="348"/>
      <c r="M811" s="348"/>
      <c r="N811" s="304"/>
      <c r="O811" s="304"/>
    </row>
    <row r="812" spans="1:15" ht="15" customHeight="1">
      <c r="A812" s="314" t="s">
        <v>49</v>
      </c>
      <c r="B812" s="314"/>
      <c r="C812" s="112">
        <f t="shared" si="224"/>
        <v>0</v>
      </c>
      <c r="D812" s="112">
        <v>0</v>
      </c>
      <c r="E812" s="112">
        <v>0</v>
      </c>
      <c r="F812" s="112">
        <v>0</v>
      </c>
      <c r="G812" s="28">
        <v>0</v>
      </c>
      <c r="H812" s="28">
        <f t="shared" si="219"/>
        <v>0</v>
      </c>
      <c r="I812" s="112">
        <v>0</v>
      </c>
      <c r="J812" s="112">
        <v>0</v>
      </c>
      <c r="K812" s="112">
        <v>0</v>
      </c>
      <c r="L812" s="348"/>
      <c r="M812" s="348"/>
      <c r="N812" s="305"/>
      <c r="O812" s="305"/>
    </row>
    <row r="813" spans="1:15" ht="40.5" customHeight="1">
      <c r="A813" s="334" t="s">
        <v>297</v>
      </c>
      <c r="B813" s="335"/>
      <c r="C813" s="178"/>
      <c r="D813" s="178"/>
      <c r="E813" s="178"/>
      <c r="F813" s="178"/>
      <c r="G813" s="178"/>
      <c r="H813" s="28"/>
      <c r="I813" s="178"/>
      <c r="J813" s="178"/>
      <c r="K813" s="179"/>
      <c r="L813" s="348" t="s">
        <v>265</v>
      </c>
      <c r="M813" s="350"/>
      <c r="N813" s="303" t="s">
        <v>315</v>
      </c>
      <c r="O813" s="303" t="s">
        <v>251</v>
      </c>
    </row>
    <row r="814" spans="1:15" ht="15" customHeight="1">
      <c r="A814" s="314" t="s">
        <v>52</v>
      </c>
      <c r="B814" s="314"/>
      <c r="C814" s="112">
        <f>SUM(D814:K814)</f>
        <v>720</v>
      </c>
      <c r="D814" s="112">
        <v>0</v>
      </c>
      <c r="E814" s="112">
        <v>0</v>
      </c>
      <c r="F814" s="112">
        <v>0</v>
      </c>
      <c r="G814" s="28">
        <v>0</v>
      </c>
      <c r="H814" s="28">
        <f t="shared" si="219"/>
        <v>360</v>
      </c>
      <c r="I814" s="28">
        <f>SUM(I816)</f>
        <v>120</v>
      </c>
      <c r="J814" s="112">
        <v>120</v>
      </c>
      <c r="K814" s="112">
        <v>120</v>
      </c>
      <c r="L814" s="348"/>
      <c r="M814" s="350"/>
      <c r="N814" s="304"/>
      <c r="O814" s="304"/>
    </row>
    <row r="815" spans="1:15" ht="15" customHeight="1">
      <c r="A815" s="314" t="s">
        <v>45</v>
      </c>
      <c r="B815" s="314"/>
      <c r="C815" s="112">
        <f>SUM(E815:G815)</f>
        <v>0</v>
      </c>
      <c r="D815" s="112">
        <v>0</v>
      </c>
      <c r="E815" s="112">
        <v>0</v>
      </c>
      <c r="F815" s="112">
        <v>0</v>
      </c>
      <c r="G815" s="28">
        <v>0</v>
      </c>
      <c r="H815" s="28">
        <f t="shared" si="219"/>
        <v>0</v>
      </c>
      <c r="I815" s="112">
        <v>0</v>
      </c>
      <c r="J815" s="112">
        <v>0</v>
      </c>
      <c r="K815" s="112">
        <v>0</v>
      </c>
      <c r="L815" s="348"/>
      <c r="M815" s="350"/>
      <c r="N815" s="304"/>
      <c r="O815" s="304"/>
    </row>
    <row r="816" spans="1:15" ht="15" customHeight="1">
      <c r="A816" s="314" t="s">
        <v>46</v>
      </c>
      <c r="B816" s="314"/>
      <c r="C816" s="112">
        <f>SUM(D816:K816)</f>
        <v>720</v>
      </c>
      <c r="D816" s="112">
        <v>0</v>
      </c>
      <c r="E816" s="112">
        <v>0</v>
      </c>
      <c r="F816" s="112">
        <v>0</v>
      </c>
      <c r="G816" s="28">
        <v>0</v>
      </c>
      <c r="H816" s="28">
        <f t="shared" si="219"/>
        <v>360</v>
      </c>
      <c r="I816" s="112">
        <v>120</v>
      </c>
      <c r="J816" s="112">
        <v>120</v>
      </c>
      <c r="K816" s="112">
        <v>120</v>
      </c>
      <c r="L816" s="348"/>
      <c r="M816" s="350"/>
      <c r="N816" s="304"/>
      <c r="O816" s="304"/>
    </row>
    <row r="817" spans="1:15" ht="15" customHeight="1">
      <c r="A817" s="314" t="s">
        <v>47</v>
      </c>
      <c r="B817" s="314"/>
      <c r="C817" s="112">
        <f>SUM(E817:G817)</f>
        <v>0</v>
      </c>
      <c r="D817" s="112">
        <v>0</v>
      </c>
      <c r="E817" s="112">
        <v>0</v>
      </c>
      <c r="F817" s="112">
        <v>0</v>
      </c>
      <c r="G817" s="28">
        <v>0</v>
      </c>
      <c r="H817" s="28">
        <f t="shared" si="219"/>
        <v>0</v>
      </c>
      <c r="I817" s="112">
        <v>0</v>
      </c>
      <c r="J817" s="112">
        <v>0</v>
      </c>
      <c r="K817" s="112">
        <v>0</v>
      </c>
      <c r="L817" s="348"/>
      <c r="M817" s="350"/>
      <c r="N817" s="304"/>
      <c r="O817" s="304"/>
    </row>
    <row r="818" spans="1:15" ht="15" customHeight="1">
      <c r="A818" s="314" t="s">
        <v>48</v>
      </c>
      <c r="B818" s="314"/>
      <c r="C818" s="112">
        <f>SUM(E818:G818)</f>
        <v>0</v>
      </c>
      <c r="D818" s="112">
        <v>0</v>
      </c>
      <c r="E818" s="112">
        <v>0</v>
      </c>
      <c r="F818" s="112">
        <v>0</v>
      </c>
      <c r="G818" s="28">
        <v>0</v>
      </c>
      <c r="H818" s="28">
        <f t="shared" si="219"/>
        <v>0</v>
      </c>
      <c r="I818" s="112">
        <v>0</v>
      </c>
      <c r="J818" s="112">
        <v>0</v>
      </c>
      <c r="K818" s="112">
        <v>0</v>
      </c>
      <c r="L818" s="348"/>
      <c r="M818" s="350"/>
      <c r="N818" s="304"/>
      <c r="O818" s="304"/>
    </row>
    <row r="819" spans="1:15" ht="15" customHeight="1">
      <c r="A819" s="314" t="s">
        <v>49</v>
      </c>
      <c r="B819" s="314"/>
      <c r="C819" s="112">
        <f>SUM(E819:G819)</f>
        <v>0</v>
      </c>
      <c r="D819" s="112">
        <v>0</v>
      </c>
      <c r="E819" s="112">
        <v>0</v>
      </c>
      <c r="F819" s="112">
        <v>0</v>
      </c>
      <c r="G819" s="28">
        <v>0</v>
      </c>
      <c r="H819" s="28">
        <f t="shared" si="219"/>
        <v>0</v>
      </c>
      <c r="I819" s="112">
        <v>0</v>
      </c>
      <c r="J819" s="112">
        <v>0</v>
      </c>
      <c r="K819" s="112">
        <v>0</v>
      </c>
      <c r="L819" s="348"/>
      <c r="M819" s="350"/>
      <c r="N819" s="305"/>
      <c r="O819" s="305"/>
    </row>
    <row r="820" spans="1:15" ht="80.25" customHeight="1">
      <c r="A820" s="400" t="s">
        <v>393</v>
      </c>
      <c r="B820" s="401"/>
      <c r="C820" s="112"/>
      <c r="D820" s="112"/>
      <c r="E820" s="112"/>
      <c r="F820" s="112"/>
      <c r="G820" s="28"/>
      <c r="H820" s="28"/>
      <c r="I820" s="112"/>
      <c r="J820" s="112"/>
      <c r="K820" s="112"/>
      <c r="L820" s="17"/>
      <c r="M820" s="104"/>
      <c r="N820" s="201"/>
      <c r="O820" s="213" t="s">
        <v>299</v>
      </c>
    </row>
    <row r="821" spans="1:15" ht="39.75" customHeight="1">
      <c r="A821" s="398" t="s">
        <v>298</v>
      </c>
      <c r="B821" s="399"/>
      <c r="C821" s="180"/>
      <c r="D821" s="180"/>
      <c r="E821" s="180"/>
      <c r="F821" s="180"/>
      <c r="G821" s="180"/>
      <c r="H821" s="28"/>
      <c r="I821" s="180"/>
      <c r="J821" s="180"/>
      <c r="K821" s="180"/>
      <c r="L821" s="348" t="s">
        <v>265</v>
      </c>
      <c r="M821" s="348"/>
      <c r="N821" s="315" t="s">
        <v>374</v>
      </c>
      <c r="O821" s="315" t="s">
        <v>359</v>
      </c>
    </row>
    <row r="822" spans="1:15" ht="15" customHeight="1">
      <c r="A822" s="314" t="s">
        <v>52</v>
      </c>
      <c r="B822" s="314"/>
      <c r="C822" s="112">
        <f aca="true" t="shared" si="225" ref="C822:K822">SUM(C823:C827)</f>
        <v>141384.92136</v>
      </c>
      <c r="D822" s="112">
        <f t="shared" si="225"/>
        <v>14125.026</v>
      </c>
      <c r="E822" s="112">
        <f t="shared" si="225"/>
        <v>14367.451860000001</v>
      </c>
      <c r="F822" s="112">
        <f t="shared" si="225"/>
        <v>15445.9875</v>
      </c>
      <c r="G822" s="28">
        <f t="shared" si="225"/>
        <v>14212.456</v>
      </c>
      <c r="H822" s="28">
        <f t="shared" si="219"/>
        <v>41617</v>
      </c>
      <c r="I822" s="28">
        <f t="shared" si="225"/>
        <v>13255.8</v>
      </c>
      <c r="J822" s="28">
        <f t="shared" si="225"/>
        <v>13736.1</v>
      </c>
      <c r="K822" s="28">
        <f t="shared" si="225"/>
        <v>14625.1</v>
      </c>
      <c r="L822" s="348"/>
      <c r="M822" s="348"/>
      <c r="N822" s="315"/>
      <c r="O822" s="315"/>
    </row>
    <row r="823" spans="1:15" ht="15" customHeight="1">
      <c r="A823" s="314" t="s">
        <v>45</v>
      </c>
      <c r="B823" s="314"/>
      <c r="C823" s="112">
        <f>SUM(D823:F823)</f>
        <v>0</v>
      </c>
      <c r="D823" s="112">
        <f aca="true" t="shared" si="226" ref="D823:G827">D830+D837+D844+D851+D858+D865+D872+D879+D886+D893+D900+D907+D914+D921+D928</f>
        <v>0</v>
      </c>
      <c r="E823" s="112">
        <f t="shared" si="226"/>
        <v>0</v>
      </c>
      <c r="F823" s="112">
        <f t="shared" si="226"/>
        <v>0</v>
      </c>
      <c r="G823" s="28">
        <f t="shared" si="226"/>
        <v>0</v>
      </c>
      <c r="H823" s="28">
        <f t="shared" si="219"/>
        <v>0</v>
      </c>
      <c r="I823" s="112">
        <f aca="true" t="shared" si="227" ref="I823:K827">I830+I837+I844+I851+I858+I865+I872+I879+I886+I893+I900+I907+I914+I921+I928</f>
        <v>0</v>
      </c>
      <c r="J823" s="112">
        <f t="shared" si="227"/>
        <v>0</v>
      </c>
      <c r="K823" s="112">
        <f t="shared" si="227"/>
        <v>0</v>
      </c>
      <c r="L823" s="348"/>
      <c r="M823" s="348"/>
      <c r="N823" s="315"/>
      <c r="O823" s="315"/>
    </row>
    <row r="824" spans="1:15" ht="15" customHeight="1">
      <c r="A824" s="314" t="s">
        <v>46</v>
      </c>
      <c r="B824" s="314"/>
      <c r="C824" s="112">
        <f>SUM(D824:K824)</f>
        <v>141384.92136</v>
      </c>
      <c r="D824" s="112">
        <f t="shared" si="226"/>
        <v>14125.026</v>
      </c>
      <c r="E824" s="112">
        <f t="shared" si="226"/>
        <v>14367.451860000001</v>
      </c>
      <c r="F824" s="112">
        <f t="shared" si="226"/>
        <v>15445.9875</v>
      </c>
      <c r="G824" s="112">
        <f t="shared" si="226"/>
        <v>14212.456</v>
      </c>
      <c r="H824" s="28">
        <f t="shared" si="219"/>
        <v>41617</v>
      </c>
      <c r="I824" s="112">
        <f t="shared" si="227"/>
        <v>13255.8</v>
      </c>
      <c r="J824" s="112">
        <f t="shared" si="227"/>
        <v>13736.1</v>
      </c>
      <c r="K824" s="112">
        <f t="shared" si="227"/>
        <v>14625.1</v>
      </c>
      <c r="L824" s="348"/>
      <c r="M824" s="348"/>
      <c r="N824" s="315"/>
      <c r="O824" s="315"/>
    </row>
    <row r="825" spans="1:15" ht="15" customHeight="1">
      <c r="A825" s="314" t="s">
        <v>47</v>
      </c>
      <c r="B825" s="314"/>
      <c r="C825" s="112">
        <f>SUM(D825:F825)</f>
        <v>0</v>
      </c>
      <c r="D825" s="112">
        <f t="shared" si="226"/>
        <v>0</v>
      </c>
      <c r="E825" s="112">
        <f t="shared" si="226"/>
        <v>0</v>
      </c>
      <c r="F825" s="112">
        <f t="shared" si="226"/>
        <v>0</v>
      </c>
      <c r="G825" s="28">
        <f t="shared" si="226"/>
        <v>0</v>
      </c>
      <c r="H825" s="28">
        <f t="shared" si="219"/>
        <v>0</v>
      </c>
      <c r="I825" s="112">
        <f t="shared" si="227"/>
        <v>0</v>
      </c>
      <c r="J825" s="112">
        <f t="shared" si="227"/>
        <v>0</v>
      </c>
      <c r="K825" s="112">
        <f t="shared" si="227"/>
        <v>0</v>
      </c>
      <c r="L825" s="348"/>
      <c r="M825" s="348"/>
      <c r="N825" s="315"/>
      <c r="O825" s="315"/>
    </row>
    <row r="826" spans="1:15" ht="15" customHeight="1">
      <c r="A826" s="314" t="s">
        <v>48</v>
      </c>
      <c r="B826" s="314"/>
      <c r="C826" s="112">
        <f>SUM(D826:F826)</f>
        <v>0</v>
      </c>
      <c r="D826" s="112">
        <f t="shared" si="226"/>
        <v>0</v>
      </c>
      <c r="E826" s="112">
        <f t="shared" si="226"/>
        <v>0</v>
      </c>
      <c r="F826" s="112">
        <f t="shared" si="226"/>
        <v>0</v>
      </c>
      <c r="G826" s="28">
        <f t="shared" si="226"/>
        <v>0</v>
      </c>
      <c r="H826" s="28">
        <f t="shared" si="219"/>
        <v>0</v>
      </c>
      <c r="I826" s="112">
        <f t="shared" si="227"/>
        <v>0</v>
      </c>
      <c r="J826" s="112">
        <f t="shared" si="227"/>
        <v>0</v>
      </c>
      <c r="K826" s="112">
        <f t="shared" si="227"/>
        <v>0</v>
      </c>
      <c r="L826" s="348"/>
      <c r="M826" s="348"/>
      <c r="N826" s="315"/>
      <c r="O826" s="315"/>
    </row>
    <row r="827" spans="1:15" ht="15" customHeight="1">
      <c r="A827" s="314" t="s">
        <v>49</v>
      </c>
      <c r="B827" s="314"/>
      <c r="C827" s="112">
        <f>SUM(D827:F827)</f>
        <v>0</v>
      </c>
      <c r="D827" s="112">
        <f t="shared" si="226"/>
        <v>0</v>
      </c>
      <c r="E827" s="112">
        <f t="shared" si="226"/>
        <v>0</v>
      </c>
      <c r="F827" s="112">
        <f t="shared" si="226"/>
        <v>0</v>
      </c>
      <c r="G827" s="28">
        <f t="shared" si="226"/>
        <v>0</v>
      </c>
      <c r="H827" s="28">
        <f t="shared" si="219"/>
        <v>0</v>
      </c>
      <c r="I827" s="112">
        <f t="shared" si="227"/>
        <v>0</v>
      </c>
      <c r="J827" s="112">
        <f t="shared" si="227"/>
        <v>0</v>
      </c>
      <c r="K827" s="112">
        <f t="shared" si="227"/>
        <v>0</v>
      </c>
      <c r="L827" s="348"/>
      <c r="M827" s="348"/>
      <c r="N827" s="315"/>
      <c r="O827" s="315"/>
    </row>
    <row r="828" spans="1:15" ht="57.75" customHeight="1">
      <c r="A828" s="334" t="s">
        <v>300</v>
      </c>
      <c r="B828" s="336"/>
      <c r="C828" s="152"/>
      <c r="D828" s="152"/>
      <c r="E828" s="152"/>
      <c r="F828" s="152"/>
      <c r="G828" s="152"/>
      <c r="H828" s="28"/>
      <c r="I828" s="152"/>
      <c r="J828" s="152"/>
      <c r="K828" s="152"/>
      <c r="L828" s="348" t="s">
        <v>265</v>
      </c>
      <c r="M828" s="348"/>
      <c r="N828" s="303" t="s">
        <v>315</v>
      </c>
      <c r="O828" s="303" t="s">
        <v>251</v>
      </c>
    </row>
    <row r="829" spans="1:15" ht="15" customHeight="1">
      <c r="A829" s="314" t="s">
        <v>52</v>
      </c>
      <c r="B829" s="314"/>
      <c r="C829" s="112">
        <f aca="true" t="shared" si="228" ref="C829:K829">SUM(C830:C834)</f>
        <v>14725.0475</v>
      </c>
      <c r="D829" s="112">
        <f t="shared" si="228"/>
        <v>150</v>
      </c>
      <c r="E829" s="112">
        <f t="shared" si="228"/>
        <v>150</v>
      </c>
      <c r="F829" s="112">
        <f t="shared" si="228"/>
        <v>1877.4475</v>
      </c>
      <c r="G829" s="28">
        <f t="shared" si="228"/>
        <v>2147.6</v>
      </c>
      <c r="H829" s="28">
        <f t="shared" si="219"/>
        <v>5200</v>
      </c>
      <c r="I829" s="112">
        <f t="shared" si="228"/>
        <v>2800</v>
      </c>
      <c r="J829" s="112">
        <f t="shared" si="228"/>
        <v>1200</v>
      </c>
      <c r="K829" s="112">
        <f t="shared" si="228"/>
        <v>1200</v>
      </c>
      <c r="L829" s="348"/>
      <c r="M829" s="348"/>
      <c r="N829" s="304"/>
      <c r="O829" s="304"/>
    </row>
    <row r="830" spans="1:15" ht="15" customHeight="1">
      <c r="A830" s="314" t="s">
        <v>45</v>
      </c>
      <c r="B830" s="314"/>
      <c r="C830" s="112">
        <f>SUM(E830:G830)</f>
        <v>0</v>
      </c>
      <c r="D830" s="112"/>
      <c r="E830" s="112">
        <v>0</v>
      </c>
      <c r="F830" s="112">
        <v>0</v>
      </c>
      <c r="G830" s="28">
        <v>0</v>
      </c>
      <c r="H830" s="28">
        <f t="shared" si="219"/>
        <v>0</v>
      </c>
      <c r="I830" s="112">
        <v>0</v>
      </c>
      <c r="J830" s="112">
        <v>0</v>
      </c>
      <c r="K830" s="112">
        <v>0</v>
      </c>
      <c r="L830" s="348"/>
      <c r="M830" s="348"/>
      <c r="N830" s="304"/>
      <c r="O830" s="304"/>
    </row>
    <row r="831" spans="1:15" ht="15" customHeight="1">
      <c r="A831" s="314" t="s">
        <v>46</v>
      </c>
      <c r="B831" s="314"/>
      <c r="C831" s="112">
        <f>SUM(D831:K831)</f>
        <v>14725.0475</v>
      </c>
      <c r="D831" s="112">
        <v>150</v>
      </c>
      <c r="E831" s="112">
        <v>150</v>
      </c>
      <c r="F831" s="112">
        <v>1877.4475</v>
      </c>
      <c r="G831" s="28">
        <v>2147.6</v>
      </c>
      <c r="H831" s="28">
        <f t="shared" si="219"/>
        <v>5200</v>
      </c>
      <c r="I831" s="112">
        <v>2800</v>
      </c>
      <c r="J831" s="112">
        <v>1200</v>
      </c>
      <c r="K831" s="112">
        <v>1200</v>
      </c>
      <c r="L831" s="348"/>
      <c r="M831" s="348"/>
      <c r="N831" s="304"/>
      <c r="O831" s="304"/>
    </row>
    <row r="832" spans="1:15" ht="15" customHeight="1">
      <c r="A832" s="314" t="s">
        <v>47</v>
      </c>
      <c r="B832" s="314"/>
      <c r="C832" s="112">
        <f>SUM(E832:G832)</f>
        <v>0</v>
      </c>
      <c r="D832" s="112"/>
      <c r="E832" s="112">
        <v>0</v>
      </c>
      <c r="F832" s="112">
        <v>0</v>
      </c>
      <c r="G832" s="28">
        <v>0</v>
      </c>
      <c r="H832" s="28">
        <f t="shared" si="219"/>
        <v>0</v>
      </c>
      <c r="I832" s="112">
        <v>0</v>
      </c>
      <c r="J832" s="112">
        <v>0</v>
      </c>
      <c r="K832" s="112">
        <v>0</v>
      </c>
      <c r="L832" s="348"/>
      <c r="M832" s="348"/>
      <c r="N832" s="304"/>
      <c r="O832" s="304"/>
    </row>
    <row r="833" spans="1:15" ht="15" customHeight="1">
      <c r="A833" s="314" t="s">
        <v>48</v>
      </c>
      <c r="B833" s="314"/>
      <c r="C833" s="112">
        <f>SUM(E833:G833)</f>
        <v>0</v>
      </c>
      <c r="D833" s="112"/>
      <c r="E833" s="112">
        <v>0</v>
      </c>
      <c r="F833" s="112">
        <v>0</v>
      </c>
      <c r="G833" s="28">
        <v>0</v>
      </c>
      <c r="H833" s="28">
        <f t="shared" si="219"/>
        <v>0</v>
      </c>
      <c r="I833" s="112">
        <v>0</v>
      </c>
      <c r="J833" s="112">
        <v>0</v>
      </c>
      <c r="K833" s="112">
        <v>0</v>
      </c>
      <c r="L833" s="348"/>
      <c r="M833" s="348"/>
      <c r="N833" s="304"/>
      <c r="O833" s="304"/>
    </row>
    <row r="834" spans="1:15" ht="15" customHeight="1">
      <c r="A834" s="314" t="s">
        <v>49</v>
      </c>
      <c r="B834" s="314"/>
      <c r="C834" s="112">
        <f>SUM(E834:G834)</f>
        <v>0</v>
      </c>
      <c r="D834" s="112"/>
      <c r="E834" s="112">
        <v>0</v>
      </c>
      <c r="F834" s="112">
        <v>0</v>
      </c>
      <c r="G834" s="28">
        <v>0</v>
      </c>
      <c r="H834" s="28">
        <f t="shared" si="219"/>
        <v>0</v>
      </c>
      <c r="I834" s="112">
        <v>0</v>
      </c>
      <c r="J834" s="112">
        <v>0</v>
      </c>
      <c r="K834" s="112">
        <v>0</v>
      </c>
      <c r="L834" s="348"/>
      <c r="M834" s="348"/>
      <c r="N834" s="305"/>
      <c r="O834" s="305"/>
    </row>
    <row r="835" spans="1:15" ht="43.5" customHeight="1">
      <c r="A835" s="334" t="s">
        <v>301</v>
      </c>
      <c r="B835" s="336"/>
      <c r="C835" s="180"/>
      <c r="D835" s="180"/>
      <c r="E835" s="180"/>
      <c r="F835" s="180"/>
      <c r="G835" s="180"/>
      <c r="H835" s="28"/>
      <c r="I835" s="180"/>
      <c r="J835" s="180"/>
      <c r="K835" s="180"/>
      <c r="L835" s="348" t="s">
        <v>265</v>
      </c>
      <c r="M835" s="348"/>
      <c r="N835" s="303" t="s">
        <v>315</v>
      </c>
      <c r="O835" s="303" t="s">
        <v>251</v>
      </c>
    </row>
    <row r="836" spans="1:15" ht="15" customHeight="1">
      <c r="A836" s="314" t="s">
        <v>52</v>
      </c>
      <c r="B836" s="314"/>
      <c r="C836" s="112">
        <f aca="true" t="shared" si="229" ref="C836:K836">SUM(C837:C841)</f>
        <v>11549.72</v>
      </c>
      <c r="D836" s="112">
        <f t="shared" si="229"/>
        <v>100</v>
      </c>
      <c r="E836" s="112">
        <f t="shared" si="229"/>
        <v>100</v>
      </c>
      <c r="F836" s="112">
        <f t="shared" si="229"/>
        <v>1997.32</v>
      </c>
      <c r="G836" s="28">
        <f t="shared" si="229"/>
        <v>3152.4</v>
      </c>
      <c r="H836" s="28">
        <f t="shared" si="219"/>
        <v>3100</v>
      </c>
      <c r="I836" s="112">
        <f t="shared" si="229"/>
        <v>800</v>
      </c>
      <c r="J836" s="112">
        <f t="shared" si="229"/>
        <v>1150</v>
      </c>
      <c r="K836" s="112">
        <f t="shared" si="229"/>
        <v>1150</v>
      </c>
      <c r="L836" s="348"/>
      <c r="M836" s="348"/>
      <c r="N836" s="304"/>
      <c r="O836" s="304"/>
    </row>
    <row r="837" spans="1:15" ht="18" customHeight="1">
      <c r="A837" s="314" t="s">
        <v>45</v>
      </c>
      <c r="B837" s="314"/>
      <c r="C837" s="112">
        <f>SUM(E837:G837)</f>
        <v>0</v>
      </c>
      <c r="D837" s="112">
        <v>0</v>
      </c>
      <c r="E837" s="112">
        <v>0</v>
      </c>
      <c r="F837" s="112">
        <v>0</v>
      </c>
      <c r="G837" s="28">
        <v>0</v>
      </c>
      <c r="H837" s="28">
        <f t="shared" si="219"/>
        <v>0</v>
      </c>
      <c r="I837" s="112">
        <v>0</v>
      </c>
      <c r="J837" s="112">
        <v>0</v>
      </c>
      <c r="K837" s="112">
        <v>0</v>
      </c>
      <c r="L837" s="348"/>
      <c r="M837" s="348"/>
      <c r="N837" s="304"/>
      <c r="O837" s="304"/>
    </row>
    <row r="838" spans="1:15" ht="15" customHeight="1">
      <c r="A838" s="314" t="s">
        <v>46</v>
      </c>
      <c r="B838" s="314"/>
      <c r="C838" s="112">
        <f>SUM(D838:K838)</f>
        <v>11549.72</v>
      </c>
      <c r="D838" s="112">
        <v>100</v>
      </c>
      <c r="E838" s="112">
        <v>100</v>
      </c>
      <c r="F838" s="112">
        <v>1997.32</v>
      </c>
      <c r="G838" s="28">
        <v>3152.4</v>
      </c>
      <c r="H838" s="28">
        <f t="shared" si="219"/>
        <v>3100</v>
      </c>
      <c r="I838" s="112">
        <v>800</v>
      </c>
      <c r="J838" s="112">
        <v>1150</v>
      </c>
      <c r="K838" s="112">
        <v>1150</v>
      </c>
      <c r="L838" s="348"/>
      <c r="M838" s="348"/>
      <c r="N838" s="304"/>
      <c r="O838" s="304"/>
    </row>
    <row r="839" spans="1:15" ht="15" customHeight="1">
      <c r="A839" s="314" t="s">
        <v>47</v>
      </c>
      <c r="B839" s="314"/>
      <c r="C839" s="112">
        <f>SUM(E839:G839)</f>
        <v>0</v>
      </c>
      <c r="D839" s="112">
        <v>0</v>
      </c>
      <c r="E839" s="112">
        <v>0</v>
      </c>
      <c r="F839" s="112">
        <v>0</v>
      </c>
      <c r="G839" s="28">
        <v>0</v>
      </c>
      <c r="H839" s="28">
        <f t="shared" si="219"/>
        <v>0</v>
      </c>
      <c r="I839" s="112">
        <v>0</v>
      </c>
      <c r="J839" s="112">
        <v>0</v>
      </c>
      <c r="K839" s="112">
        <v>0</v>
      </c>
      <c r="L839" s="348"/>
      <c r="M839" s="348"/>
      <c r="N839" s="304"/>
      <c r="O839" s="304"/>
    </row>
    <row r="840" spans="1:15" ht="15" customHeight="1">
      <c r="A840" s="314" t="s">
        <v>48</v>
      </c>
      <c r="B840" s="314"/>
      <c r="C840" s="112">
        <f>SUM(E840:G840)</f>
        <v>0</v>
      </c>
      <c r="D840" s="112">
        <v>0</v>
      </c>
      <c r="E840" s="112">
        <v>0</v>
      </c>
      <c r="F840" s="112">
        <v>0</v>
      </c>
      <c r="G840" s="28">
        <v>0</v>
      </c>
      <c r="H840" s="28">
        <f t="shared" si="219"/>
        <v>0</v>
      </c>
      <c r="I840" s="112">
        <v>0</v>
      </c>
      <c r="J840" s="112">
        <v>0</v>
      </c>
      <c r="K840" s="112">
        <v>0</v>
      </c>
      <c r="L840" s="348"/>
      <c r="M840" s="348"/>
      <c r="N840" s="304"/>
      <c r="O840" s="304"/>
    </row>
    <row r="841" spans="1:15" ht="15" customHeight="1">
      <c r="A841" s="314" t="s">
        <v>49</v>
      </c>
      <c r="B841" s="314"/>
      <c r="C841" s="112">
        <f>SUM(E841:G841)</f>
        <v>0</v>
      </c>
      <c r="D841" s="112">
        <v>0</v>
      </c>
      <c r="E841" s="112">
        <v>0</v>
      </c>
      <c r="F841" s="112">
        <v>0</v>
      </c>
      <c r="G841" s="28">
        <v>0</v>
      </c>
      <c r="H841" s="28">
        <f t="shared" si="219"/>
        <v>0</v>
      </c>
      <c r="I841" s="112">
        <v>0</v>
      </c>
      <c r="J841" s="112">
        <v>0</v>
      </c>
      <c r="K841" s="112">
        <v>0</v>
      </c>
      <c r="L841" s="348"/>
      <c r="M841" s="348"/>
      <c r="N841" s="305"/>
      <c r="O841" s="305"/>
    </row>
    <row r="842" spans="1:15" ht="36.75" customHeight="1">
      <c r="A842" s="334" t="s">
        <v>302</v>
      </c>
      <c r="B842" s="335"/>
      <c r="C842" s="178"/>
      <c r="D842" s="178"/>
      <c r="E842" s="178"/>
      <c r="F842" s="178"/>
      <c r="G842" s="178"/>
      <c r="H842" s="28"/>
      <c r="I842" s="178"/>
      <c r="J842" s="178"/>
      <c r="K842" s="179"/>
      <c r="L842" s="348" t="s">
        <v>265</v>
      </c>
      <c r="M842" s="348"/>
      <c r="N842" s="303" t="s">
        <v>348</v>
      </c>
      <c r="O842" s="303" t="s">
        <v>299</v>
      </c>
    </row>
    <row r="843" spans="1:15" ht="15.75" customHeight="1">
      <c r="A843" s="314" t="s">
        <v>52</v>
      </c>
      <c r="B843" s="314"/>
      <c r="C843" s="112">
        <f aca="true" t="shared" si="230" ref="C843:K843">SUM(C844:C848)</f>
        <v>4358.45</v>
      </c>
      <c r="D843" s="112">
        <f t="shared" si="230"/>
        <v>370</v>
      </c>
      <c r="E843" s="112">
        <f t="shared" si="230"/>
        <v>388.45</v>
      </c>
      <c r="F843" s="112">
        <f t="shared" si="230"/>
        <v>450</v>
      </c>
      <c r="G843" s="28">
        <f t="shared" si="230"/>
        <v>450</v>
      </c>
      <c r="H843" s="28">
        <f t="shared" si="219"/>
        <v>1350</v>
      </c>
      <c r="I843" s="112">
        <f t="shared" si="230"/>
        <v>450</v>
      </c>
      <c r="J843" s="112">
        <f t="shared" si="230"/>
        <v>450</v>
      </c>
      <c r="K843" s="112">
        <f t="shared" si="230"/>
        <v>450</v>
      </c>
      <c r="L843" s="348"/>
      <c r="M843" s="348"/>
      <c r="N843" s="304"/>
      <c r="O843" s="304"/>
    </row>
    <row r="844" spans="1:15" ht="15" customHeight="1">
      <c r="A844" s="314" t="s">
        <v>45</v>
      </c>
      <c r="B844" s="314"/>
      <c r="C844" s="112">
        <f>SUM(E844:G844)</f>
        <v>0</v>
      </c>
      <c r="D844" s="112">
        <v>0</v>
      </c>
      <c r="E844" s="112">
        <v>0</v>
      </c>
      <c r="F844" s="112">
        <v>0</v>
      </c>
      <c r="G844" s="28">
        <v>0</v>
      </c>
      <c r="H844" s="28">
        <f t="shared" si="219"/>
        <v>0</v>
      </c>
      <c r="I844" s="112">
        <v>0</v>
      </c>
      <c r="J844" s="112">
        <v>0</v>
      </c>
      <c r="K844" s="112">
        <v>0</v>
      </c>
      <c r="L844" s="348"/>
      <c r="M844" s="348"/>
      <c r="N844" s="304"/>
      <c r="O844" s="304"/>
    </row>
    <row r="845" spans="1:15" ht="15" customHeight="1">
      <c r="A845" s="314" t="s">
        <v>153</v>
      </c>
      <c r="B845" s="314"/>
      <c r="C845" s="112">
        <f>SUM(D845:K845)</f>
        <v>4358.45</v>
      </c>
      <c r="D845" s="112">
        <v>370</v>
      </c>
      <c r="E845" s="112">
        <v>388.45</v>
      </c>
      <c r="F845" s="112">
        <v>450</v>
      </c>
      <c r="G845" s="28">
        <v>450</v>
      </c>
      <c r="H845" s="28">
        <f t="shared" si="219"/>
        <v>1350</v>
      </c>
      <c r="I845" s="112">
        <v>450</v>
      </c>
      <c r="J845" s="112">
        <v>450</v>
      </c>
      <c r="K845" s="112">
        <v>450</v>
      </c>
      <c r="L845" s="348"/>
      <c r="M845" s="348"/>
      <c r="N845" s="304"/>
      <c r="O845" s="304"/>
    </row>
    <row r="846" spans="1:15" ht="15" customHeight="1">
      <c r="A846" s="314" t="s">
        <v>47</v>
      </c>
      <c r="B846" s="314"/>
      <c r="C846" s="112">
        <f>SUM(E846:G846)</f>
        <v>0</v>
      </c>
      <c r="D846" s="112">
        <v>0</v>
      </c>
      <c r="E846" s="112">
        <v>0</v>
      </c>
      <c r="F846" s="112">
        <v>0</v>
      </c>
      <c r="G846" s="28">
        <v>0</v>
      </c>
      <c r="H846" s="28">
        <f t="shared" si="219"/>
        <v>0</v>
      </c>
      <c r="I846" s="112">
        <v>0</v>
      </c>
      <c r="J846" s="112">
        <v>0</v>
      </c>
      <c r="K846" s="112">
        <v>0</v>
      </c>
      <c r="L846" s="348"/>
      <c r="M846" s="348"/>
      <c r="N846" s="304"/>
      <c r="O846" s="304"/>
    </row>
    <row r="847" spans="1:15" ht="15" customHeight="1">
      <c r="A847" s="314" t="s">
        <v>48</v>
      </c>
      <c r="B847" s="314"/>
      <c r="C847" s="112">
        <f>SUM(E847:G847)</f>
        <v>0</v>
      </c>
      <c r="D847" s="112">
        <v>0</v>
      </c>
      <c r="E847" s="112">
        <v>0</v>
      </c>
      <c r="F847" s="112">
        <v>0</v>
      </c>
      <c r="G847" s="28">
        <v>0</v>
      </c>
      <c r="H847" s="28">
        <f aca="true" t="shared" si="231" ref="H847:H910">I847+J847+K847</f>
        <v>0</v>
      </c>
      <c r="I847" s="112">
        <v>0</v>
      </c>
      <c r="J847" s="112">
        <v>0</v>
      </c>
      <c r="K847" s="112">
        <v>0</v>
      </c>
      <c r="L847" s="348"/>
      <c r="M847" s="348"/>
      <c r="N847" s="304"/>
      <c r="O847" s="304"/>
    </row>
    <row r="848" spans="1:15" ht="15" customHeight="1">
      <c r="A848" s="314" t="s">
        <v>49</v>
      </c>
      <c r="B848" s="314"/>
      <c r="C848" s="112">
        <f>SUM(E848:G848)</f>
        <v>0</v>
      </c>
      <c r="D848" s="112">
        <v>0</v>
      </c>
      <c r="E848" s="112">
        <v>0</v>
      </c>
      <c r="F848" s="112">
        <v>0</v>
      </c>
      <c r="G848" s="28">
        <v>0</v>
      </c>
      <c r="H848" s="28">
        <f t="shared" si="231"/>
        <v>0</v>
      </c>
      <c r="I848" s="112">
        <v>0</v>
      </c>
      <c r="J848" s="112">
        <v>0</v>
      </c>
      <c r="K848" s="112">
        <v>0</v>
      </c>
      <c r="L848" s="348"/>
      <c r="M848" s="348"/>
      <c r="N848" s="305"/>
      <c r="O848" s="305"/>
    </row>
    <row r="849" spans="1:15" ht="30.75" customHeight="1">
      <c r="A849" s="334" t="s">
        <v>303</v>
      </c>
      <c r="B849" s="335"/>
      <c r="C849" s="178"/>
      <c r="D849" s="178"/>
      <c r="E849" s="178"/>
      <c r="F849" s="178"/>
      <c r="G849" s="178"/>
      <c r="H849" s="28"/>
      <c r="I849" s="178"/>
      <c r="J849" s="178"/>
      <c r="K849" s="179"/>
      <c r="L849" s="348" t="s">
        <v>265</v>
      </c>
      <c r="M849" s="348"/>
      <c r="N849" s="303" t="s">
        <v>315</v>
      </c>
      <c r="O849" s="303" t="s">
        <v>315</v>
      </c>
    </row>
    <row r="850" spans="1:15" ht="22.5" customHeight="1">
      <c r="A850" s="314" t="s">
        <v>52</v>
      </c>
      <c r="B850" s="314"/>
      <c r="C850" s="112">
        <f aca="true" t="shared" si="232" ref="C850:K850">SUM(C851:C855)</f>
        <v>2200</v>
      </c>
      <c r="D850" s="112">
        <f t="shared" si="232"/>
        <v>200</v>
      </c>
      <c r="E850" s="112">
        <f t="shared" si="232"/>
        <v>200</v>
      </c>
      <c r="F850" s="112">
        <f t="shared" si="232"/>
        <v>300</v>
      </c>
      <c r="G850" s="28">
        <f t="shared" si="232"/>
        <v>300</v>
      </c>
      <c r="H850" s="28">
        <f t="shared" si="231"/>
        <v>600</v>
      </c>
      <c r="I850" s="112">
        <f t="shared" si="232"/>
        <v>200</v>
      </c>
      <c r="J850" s="112">
        <f t="shared" si="232"/>
        <v>200</v>
      </c>
      <c r="K850" s="112">
        <f t="shared" si="232"/>
        <v>200</v>
      </c>
      <c r="L850" s="348"/>
      <c r="M850" s="348"/>
      <c r="N850" s="304"/>
      <c r="O850" s="304"/>
    </row>
    <row r="851" spans="1:15" ht="15" customHeight="1">
      <c r="A851" s="314" t="s">
        <v>45</v>
      </c>
      <c r="B851" s="314"/>
      <c r="C851" s="112">
        <f>SUM(E851:G851)</f>
        <v>0</v>
      </c>
      <c r="D851" s="112">
        <v>0</v>
      </c>
      <c r="E851" s="112">
        <v>0</v>
      </c>
      <c r="F851" s="112">
        <v>0</v>
      </c>
      <c r="G851" s="28">
        <v>0</v>
      </c>
      <c r="H851" s="28">
        <f t="shared" si="231"/>
        <v>0</v>
      </c>
      <c r="I851" s="112">
        <v>0</v>
      </c>
      <c r="J851" s="112">
        <v>0</v>
      </c>
      <c r="K851" s="112">
        <v>0</v>
      </c>
      <c r="L851" s="348"/>
      <c r="M851" s="348"/>
      <c r="N851" s="304"/>
      <c r="O851" s="304"/>
    </row>
    <row r="852" spans="1:15" ht="15" customHeight="1">
      <c r="A852" s="314" t="s">
        <v>46</v>
      </c>
      <c r="B852" s="314"/>
      <c r="C852" s="112">
        <f>SUM(D852:K852)</f>
        <v>2200</v>
      </c>
      <c r="D852" s="112">
        <v>200</v>
      </c>
      <c r="E852" s="112">
        <v>200</v>
      </c>
      <c r="F852" s="112">
        <v>300</v>
      </c>
      <c r="G852" s="28">
        <v>300</v>
      </c>
      <c r="H852" s="28">
        <f t="shared" si="231"/>
        <v>600</v>
      </c>
      <c r="I852" s="112">
        <v>200</v>
      </c>
      <c r="J852" s="112">
        <v>200</v>
      </c>
      <c r="K852" s="112">
        <v>200</v>
      </c>
      <c r="L852" s="348"/>
      <c r="M852" s="348"/>
      <c r="N852" s="304"/>
      <c r="O852" s="304"/>
    </row>
    <row r="853" spans="1:15" ht="15" customHeight="1">
      <c r="A853" s="314" t="s">
        <v>47</v>
      </c>
      <c r="B853" s="314"/>
      <c r="C853" s="112">
        <f>SUM(E853:G853)</f>
        <v>0</v>
      </c>
      <c r="D853" s="112">
        <v>0</v>
      </c>
      <c r="E853" s="112">
        <v>0</v>
      </c>
      <c r="F853" s="112">
        <v>0</v>
      </c>
      <c r="G853" s="28">
        <v>0</v>
      </c>
      <c r="H853" s="28">
        <f t="shared" si="231"/>
        <v>0</v>
      </c>
      <c r="I853" s="112">
        <v>0</v>
      </c>
      <c r="J853" s="112">
        <v>0</v>
      </c>
      <c r="K853" s="112">
        <v>0</v>
      </c>
      <c r="L853" s="348"/>
      <c r="M853" s="348"/>
      <c r="N853" s="304"/>
      <c r="O853" s="304"/>
    </row>
    <row r="854" spans="1:15" ht="15" customHeight="1">
      <c r="A854" s="314" t="s">
        <v>48</v>
      </c>
      <c r="B854" s="314"/>
      <c r="C854" s="112">
        <f>SUM(E854:G854)</f>
        <v>0</v>
      </c>
      <c r="D854" s="112">
        <v>0</v>
      </c>
      <c r="E854" s="112">
        <v>0</v>
      </c>
      <c r="F854" s="112">
        <v>0</v>
      </c>
      <c r="G854" s="28">
        <v>0</v>
      </c>
      <c r="H854" s="28">
        <f t="shared" si="231"/>
        <v>0</v>
      </c>
      <c r="I854" s="112">
        <v>0</v>
      </c>
      <c r="J854" s="112">
        <v>0</v>
      </c>
      <c r="K854" s="112">
        <v>0</v>
      </c>
      <c r="L854" s="348"/>
      <c r="M854" s="348"/>
      <c r="N854" s="304"/>
      <c r="O854" s="304"/>
    </row>
    <row r="855" spans="1:15" ht="15" customHeight="1">
      <c r="A855" s="314" t="s">
        <v>49</v>
      </c>
      <c r="B855" s="314"/>
      <c r="C855" s="112">
        <f>SUM(E855:G855)</f>
        <v>0</v>
      </c>
      <c r="D855" s="112">
        <v>0</v>
      </c>
      <c r="E855" s="112">
        <v>0</v>
      </c>
      <c r="F855" s="112">
        <v>0</v>
      </c>
      <c r="G855" s="28">
        <v>0</v>
      </c>
      <c r="H855" s="28">
        <f t="shared" si="231"/>
        <v>0</v>
      </c>
      <c r="I855" s="112">
        <v>0</v>
      </c>
      <c r="J855" s="112">
        <v>0</v>
      </c>
      <c r="K855" s="112">
        <v>0</v>
      </c>
      <c r="L855" s="348"/>
      <c r="M855" s="348"/>
      <c r="N855" s="305"/>
      <c r="O855" s="305"/>
    </row>
    <row r="856" spans="1:15" ht="30.75" customHeight="1">
      <c r="A856" s="334" t="s">
        <v>304</v>
      </c>
      <c r="B856" s="336"/>
      <c r="C856" s="180"/>
      <c r="D856" s="180"/>
      <c r="E856" s="180"/>
      <c r="F856" s="180"/>
      <c r="G856" s="180"/>
      <c r="H856" s="28"/>
      <c r="I856" s="180"/>
      <c r="J856" s="180"/>
      <c r="K856" s="180"/>
      <c r="L856" s="348" t="s">
        <v>265</v>
      </c>
      <c r="M856" s="348"/>
      <c r="N856" s="303" t="s">
        <v>315</v>
      </c>
      <c r="O856" s="303" t="s">
        <v>251</v>
      </c>
    </row>
    <row r="857" spans="1:15" ht="17.25" customHeight="1">
      <c r="A857" s="314" t="s">
        <v>52</v>
      </c>
      <c r="B857" s="314"/>
      <c r="C857" s="112">
        <f aca="true" t="shared" si="233" ref="C857:K857">SUM(C858:C862)</f>
        <v>1220</v>
      </c>
      <c r="D857" s="112">
        <f t="shared" si="233"/>
        <v>70</v>
      </c>
      <c r="E857" s="112">
        <f t="shared" si="233"/>
        <v>70</v>
      </c>
      <c r="F857" s="112">
        <f t="shared" si="233"/>
        <v>180</v>
      </c>
      <c r="G857" s="28">
        <f t="shared" si="233"/>
        <v>0</v>
      </c>
      <c r="H857" s="28">
        <f t="shared" si="231"/>
        <v>450</v>
      </c>
      <c r="I857" s="112">
        <f t="shared" si="233"/>
        <v>150</v>
      </c>
      <c r="J857" s="112">
        <f t="shared" si="233"/>
        <v>150</v>
      </c>
      <c r="K857" s="112">
        <f t="shared" si="233"/>
        <v>150</v>
      </c>
      <c r="L857" s="348"/>
      <c r="M857" s="348"/>
      <c r="N857" s="304"/>
      <c r="O857" s="304"/>
    </row>
    <row r="858" spans="1:15" ht="15" customHeight="1">
      <c r="A858" s="314" t="s">
        <v>45</v>
      </c>
      <c r="B858" s="314"/>
      <c r="C858" s="112">
        <f>SUM(E858:G858)</f>
        <v>0</v>
      </c>
      <c r="D858" s="112">
        <v>0</v>
      </c>
      <c r="E858" s="112">
        <v>0</v>
      </c>
      <c r="F858" s="112">
        <v>0</v>
      </c>
      <c r="G858" s="28">
        <v>0</v>
      </c>
      <c r="H858" s="28">
        <f t="shared" si="231"/>
        <v>0</v>
      </c>
      <c r="I858" s="112">
        <v>0</v>
      </c>
      <c r="J858" s="112">
        <v>0</v>
      </c>
      <c r="K858" s="112">
        <v>0</v>
      </c>
      <c r="L858" s="348"/>
      <c r="M858" s="348"/>
      <c r="N858" s="304"/>
      <c r="O858" s="304"/>
    </row>
    <row r="859" spans="1:15" ht="15" customHeight="1">
      <c r="A859" s="314" t="s">
        <v>46</v>
      </c>
      <c r="B859" s="314"/>
      <c r="C859" s="112">
        <f>SUM(D859:K859)</f>
        <v>1220</v>
      </c>
      <c r="D859" s="112">
        <v>70</v>
      </c>
      <c r="E859" s="112">
        <v>70</v>
      </c>
      <c r="F859" s="112">
        <v>180</v>
      </c>
      <c r="G859" s="28">
        <v>0</v>
      </c>
      <c r="H859" s="28">
        <f t="shared" si="231"/>
        <v>450</v>
      </c>
      <c r="I859" s="112">
        <v>150</v>
      </c>
      <c r="J859" s="112">
        <v>150</v>
      </c>
      <c r="K859" s="112">
        <v>150</v>
      </c>
      <c r="L859" s="348"/>
      <c r="M859" s="348"/>
      <c r="N859" s="304"/>
      <c r="O859" s="304"/>
    </row>
    <row r="860" spans="1:15" ht="15" customHeight="1">
      <c r="A860" s="314" t="s">
        <v>47</v>
      </c>
      <c r="B860" s="314"/>
      <c r="C860" s="112">
        <f>SUM(E860:G860)</f>
        <v>0</v>
      </c>
      <c r="D860" s="112">
        <v>0</v>
      </c>
      <c r="E860" s="112">
        <v>0</v>
      </c>
      <c r="F860" s="112">
        <v>0</v>
      </c>
      <c r="G860" s="28">
        <v>0</v>
      </c>
      <c r="H860" s="28">
        <f t="shared" si="231"/>
        <v>0</v>
      </c>
      <c r="I860" s="112">
        <v>0</v>
      </c>
      <c r="J860" s="112">
        <v>0</v>
      </c>
      <c r="K860" s="112">
        <v>0</v>
      </c>
      <c r="L860" s="348"/>
      <c r="M860" s="348"/>
      <c r="N860" s="304"/>
      <c r="O860" s="304"/>
    </row>
    <row r="861" spans="1:15" ht="15" customHeight="1">
      <c r="A861" s="314" t="s">
        <v>48</v>
      </c>
      <c r="B861" s="314"/>
      <c r="C861" s="112">
        <f>SUM(E861:G861)</f>
        <v>0</v>
      </c>
      <c r="D861" s="112">
        <v>0</v>
      </c>
      <c r="E861" s="112">
        <v>0</v>
      </c>
      <c r="F861" s="112">
        <v>0</v>
      </c>
      <c r="G861" s="28">
        <v>0</v>
      </c>
      <c r="H861" s="28">
        <f t="shared" si="231"/>
        <v>0</v>
      </c>
      <c r="I861" s="112">
        <v>0</v>
      </c>
      <c r="J861" s="112">
        <v>0</v>
      </c>
      <c r="K861" s="112">
        <v>0</v>
      </c>
      <c r="L861" s="348"/>
      <c r="M861" s="348"/>
      <c r="N861" s="304"/>
      <c r="O861" s="304"/>
    </row>
    <row r="862" spans="1:15" ht="15" customHeight="1">
      <c r="A862" s="314" t="s">
        <v>49</v>
      </c>
      <c r="B862" s="314"/>
      <c r="C862" s="112">
        <f>SUM(E862:G862)</f>
        <v>0</v>
      </c>
      <c r="D862" s="112">
        <v>0</v>
      </c>
      <c r="E862" s="112">
        <v>0</v>
      </c>
      <c r="F862" s="112">
        <v>0</v>
      </c>
      <c r="G862" s="28">
        <v>0</v>
      </c>
      <c r="H862" s="28">
        <f t="shared" si="231"/>
        <v>0</v>
      </c>
      <c r="I862" s="112">
        <v>0</v>
      </c>
      <c r="J862" s="112">
        <v>0</v>
      </c>
      <c r="K862" s="112">
        <v>0</v>
      </c>
      <c r="L862" s="348"/>
      <c r="M862" s="348"/>
      <c r="N862" s="305"/>
      <c r="O862" s="305"/>
    </row>
    <row r="863" spans="1:15" ht="27" customHeight="1">
      <c r="A863" s="334" t="s">
        <v>305</v>
      </c>
      <c r="B863" s="335"/>
      <c r="C863" s="178"/>
      <c r="D863" s="178"/>
      <c r="E863" s="178"/>
      <c r="F863" s="178"/>
      <c r="G863" s="178"/>
      <c r="H863" s="28"/>
      <c r="I863" s="178"/>
      <c r="J863" s="178"/>
      <c r="K863" s="179"/>
      <c r="L863" s="348" t="s">
        <v>265</v>
      </c>
      <c r="M863" s="348"/>
      <c r="N863" s="303" t="s">
        <v>315</v>
      </c>
      <c r="O863" s="303" t="s">
        <v>251</v>
      </c>
    </row>
    <row r="864" spans="1:15" ht="15" customHeight="1">
      <c r="A864" s="314" t="s">
        <v>52</v>
      </c>
      <c r="B864" s="314"/>
      <c r="C864" s="112">
        <f aca="true" t="shared" si="234" ref="C864:K864">SUM(C865:C869)</f>
        <v>970</v>
      </c>
      <c r="D864" s="112">
        <f t="shared" si="234"/>
        <v>180</v>
      </c>
      <c r="E864" s="112">
        <f t="shared" si="234"/>
        <v>0</v>
      </c>
      <c r="F864" s="112">
        <f t="shared" si="234"/>
        <v>190</v>
      </c>
      <c r="G864" s="28">
        <f t="shared" si="234"/>
        <v>0</v>
      </c>
      <c r="H864" s="28">
        <f t="shared" si="231"/>
        <v>300</v>
      </c>
      <c r="I864" s="112">
        <f t="shared" si="234"/>
        <v>100</v>
      </c>
      <c r="J864" s="112">
        <f t="shared" si="234"/>
        <v>100</v>
      </c>
      <c r="K864" s="112">
        <f t="shared" si="234"/>
        <v>100</v>
      </c>
      <c r="L864" s="348"/>
      <c r="M864" s="348"/>
      <c r="N864" s="304"/>
      <c r="O864" s="304"/>
    </row>
    <row r="865" spans="1:15" ht="15" customHeight="1">
      <c r="A865" s="314" t="s">
        <v>45</v>
      </c>
      <c r="B865" s="314"/>
      <c r="C865" s="112">
        <f>SUM(E865:G865)</f>
        <v>0</v>
      </c>
      <c r="D865" s="112">
        <v>0</v>
      </c>
      <c r="E865" s="112">
        <v>0</v>
      </c>
      <c r="F865" s="112">
        <v>0</v>
      </c>
      <c r="G865" s="28">
        <v>0</v>
      </c>
      <c r="H865" s="28">
        <f t="shared" si="231"/>
        <v>0</v>
      </c>
      <c r="I865" s="112">
        <v>0</v>
      </c>
      <c r="J865" s="112">
        <v>0</v>
      </c>
      <c r="K865" s="112">
        <v>0</v>
      </c>
      <c r="L865" s="348"/>
      <c r="M865" s="348"/>
      <c r="N865" s="304"/>
      <c r="O865" s="304"/>
    </row>
    <row r="866" spans="1:15" ht="15" customHeight="1">
      <c r="A866" s="314" t="s">
        <v>46</v>
      </c>
      <c r="B866" s="314"/>
      <c r="C866" s="112">
        <f>SUM(D866:K866)</f>
        <v>970</v>
      </c>
      <c r="D866" s="112">
        <v>180</v>
      </c>
      <c r="E866" s="112">
        <v>0</v>
      </c>
      <c r="F866" s="112">
        <v>190</v>
      </c>
      <c r="G866" s="28">
        <v>0</v>
      </c>
      <c r="H866" s="28">
        <f t="shared" si="231"/>
        <v>300</v>
      </c>
      <c r="I866" s="112">
        <v>100</v>
      </c>
      <c r="J866" s="112">
        <v>100</v>
      </c>
      <c r="K866" s="112">
        <v>100</v>
      </c>
      <c r="L866" s="348"/>
      <c r="M866" s="348"/>
      <c r="N866" s="304"/>
      <c r="O866" s="304"/>
    </row>
    <row r="867" spans="1:15" ht="15" customHeight="1">
      <c r="A867" s="314" t="s">
        <v>47</v>
      </c>
      <c r="B867" s="314"/>
      <c r="C867" s="112">
        <f>SUM(E867:G867)</f>
        <v>0</v>
      </c>
      <c r="D867" s="112">
        <v>0</v>
      </c>
      <c r="E867" s="112">
        <v>0</v>
      </c>
      <c r="F867" s="112">
        <v>0</v>
      </c>
      <c r="G867" s="28">
        <v>0</v>
      </c>
      <c r="H867" s="28">
        <f t="shared" si="231"/>
        <v>0</v>
      </c>
      <c r="I867" s="112">
        <v>0</v>
      </c>
      <c r="J867" s="112">
        <v>0</v>
      </c>
      <c r="K867" s="112">
        <v>0</v>
      </c>
      <c r="L867" s="348"/>
      <c r="M867" s="348"/>
      <c r="N867" s="304"/>
      <c r="O867" s="304"/>
    </row>
    <row r="868" spans="1:15" ht="15" customHeight="1">
      <c r="A868" s="314" t="s">
        <v>48</v>
      </c>
      <c r="B868" s="314"/>
      <c r="C868" s="112">
        <f>SUM(E868:G868)</f>
        <v>0</v>
      </c>
      <c r="D868" s="112">
        <v>0</v>
      </c>
      <c r="E868" s="112">
        <v>0</v>
      </c>
      <c r="F868" s="112">
        <v>0</v>
      </c>
      <c r="G868" s="28">
        <v>0</v>
      </c>
      <c r="H868" s="28">
        <f t="shared" si="231"/>
        <v>0</v>
      </c>
      <c r="I868" s="112">
        <v>0</v>
      </c>
      <c r="J868" s="112">
        <v>0</v>
      </c>
      <c r="K868" s="112">
        <v>0</v>
      </c>
      <c r="L868" s="348"/>
      <c r="M868" s="348"/>
      <c r="N868" s="304"/>
      <c r="O868" s="304"/>
    </row>
    <row r="869" spans="1:15" ht="15" customHeight="1">
      <c r="A869" s="314" t="s">
        <v>49</v>
      </c>
      <c r="B869" s="314"/>
      <c r="C869" s="112">
        <f>SUM(E869:G869)</f>
        <v>0</v>
      </c>
      <c r="D869" s="112">
        <v>0</v>
      </c>
      <c r="E869" s="112">
        <v>0</v>
      </c>
      <c r="F869" s="112">
        <v>0</v>
      </c>
      <c r="G869" s="28">
        <v>0</v>
      </c>
      <c r="H869" s="28">
        <f t="shared" si="231"/>
        <v>0</v>
      </c>
      <c r="I869" s="112">
        <v>0</v>
      </c>
      <c r="J869" s="112">
        <v>0</v>
      </c>
      <c r="K869" s="112">
        <v>0</v>
      </c>
      <c r="L869" s="348"/>
      <c r="M869" s="348"/>
      <c r="N869" s="305"/>
      <c r="O869" s="305"/>
    </row>
    <row r="870" spans="1:15" ht="22.5" customHeight="1">
      <c r="A870" s="334" t="s">
        <v>306</v>
      </c>
      <c r="B870" s="336"/>
      <c r="C870" s="180"/>
      <c r="D870" s="180"/>
      <c r="E870" s="180"/>
      <c r="F870" s="180"/>
      <c r="G870" s="180"/>
      <c r="H870" s="28"/>
      <c r="I870" s="180"/>
      <c r="J870" s="180"/>
      <c r="K870" s="180"/>
      <c r="L870" s="348" t="s">
        <v>265</v>
      </c>
      <c r="M870" s="348"/>
      <c r="N870" s="303" t="s">
        <v>315</v>
      </c>
      <c r="O870" s="303" t="s">
        <v>251</v>
      </c>
    </row>
    <row r="871" spans="1:15" ht="15" customHeight="1">
      <c r="A871" s="314" t="s">
        <v>52</v>
      </c>
      <c r="B871" s="314"/>
      <c r="C871" s="112">
        <f aca="true" t="shared" si="235" ref="C871:K871">SUM(C872:C876)</f>
        <v>1300</v>
      </c>
      <c r="D871" s="112">
        <f t="shared" si="235"/>
        <v>0</v>
      </c>
      <c r="E871" s="112">
        <f t="shared" si="235"/>
        <v>0</v>
      </c>
      <c r="F871" s="112">
        <f t="shared" si="235"/>
        <v>100</v>
      </c>
      <c r="G871" s="28">
        <f t="shared" si="235"/>
        <v>0</v>
      </c>
      <c r="H871" s="28">
        <f t="shared" si="231"/>
        <v>600</v>
      </c>
      <c r="I871" s="112">
        <f t="shared" si="235"/>
        <v>200</v>
      </c>
      <c r="J871" s="112">
        <f t="shared" si="235"/>
        <v>200</v>
      </c>
      <c r="K871" s="112">
        <f t="shared" si="235"/>
        <v>200</v>
      </c>
      <c r="L871" s="348"/>
      <c r="M871" s="348"/>
      <c r="N871" s="304"/>
      <c r="O871" s="304"/>
    </row>
    <row r="872" spans="1:15" ht="15" customHeight="1">
      <c r="A872" s="314" t="s">
        <v>45</v>
      </c>
      <c r="B872" s="314"/>
      <c r="C872" s="112">
        <f>SUM(E872:G872)</f>
        <v>0</v>
      </c>
      <c r="D872" s="112">
        <v>0</v>
      </c>
      <c r="E872" s="112">
        <v>0</v>
      </c>
      <c r="F872" s="112">
        <v>0</v>
      </c>
      <c r="G872" s="28">
        <v>0</v>
      </c>
      <c r="H872" s="28">
        <f t="shared" si="231"/>
        <v>0</v>
      </c>
      <c r="I872" s="112">
        <v>0</v>
      </c>
      <c r="J872" s="112">
        <v>0</v>
      </c>
      <c r="K872" s="112">
        <v>0</v>
      </c>
      <c r="L872" s="348"/>
      <c r="M872" s="348"/>
      <c r="N872" s="304"/>
      <c r="O872" s="304"/>
    </row>
    <row r="873" spans="1:15" ht="15" customHeight="1">
      <c r="A873" s="314" t="s">
        <v>46</v>
      </c>
      <c r="B873" s="314"/>
      <c r="C873" s="112">
        <f>SUM(D873:K873)</f>
        <v>1300</v>
      </c>
      <c r="D873" s="112">
        <v>0</v>
      </c>
      <c r="E873" s="112">
        <v>0</v>
      </c>
      <c r="F873" s="112">
        <v>100</v>
      </c>
      <c r="G873" s="28">
        <v>0</v>
      </c>
      <c r="H873" s="28">
        <f t="shared" si="231"/>
        <v>600</v>
      </c>
      <c r="I873" s="112">
        <v>200</v>
      </c>
      <c r="J873" s="112">
        <v>200</v>
      </c>
      <c r="K873" s="112">
        <v>200</v>
      </c>
      <c r="L873" s="348"/>
      <c r="M873" s="348"/>
      <c r="N873" s="304"/>
      <c r="O873" s="304"/>
    </row>
    <row r="874" spans="1:15" ht="15" customHeight="1">
      <c r="A874" s="314" t="s">
        <v>47</v>
      </c>
      <c r="B874" s="314"/>
      <c r="C874" s="112">
        <f>SUM(E874:G874)</f>
        <v>0</v>
      </c>
      <c r="D874" s="112">
        <v>0</v>
      </c>
      <c r="E874" s="112">
        <v>0</v>
      </c>
      <c r="F874" s="112">
        <v>0</v>
      </c>
      <c r="G874" s="28">
        <v>0</v>
      </c>
      <c r="H874" s="28">
        <f t="shared" si="231"/>
        <v>0</v>
      </c>
      <c r="I874" s="112">
        <v>0</v>
      </c>
      <c r="J874" s="112">
        <v>0</v>
      </c>
      <c r="K874" s="112">
        <v>0</v>
      </c>
      <c r="L874" s="348"/>
      <c r="M874" s="348"/>
      <c r="N874" s="304"/>
      <c r="O874" s="304"/>
    </row>
    <row r="875" spans="1:15" ht="15" customHeight="1">
      <c r="A875" s="314" t="s">
        <v>48</v>
      </c>
      <c r="B875" s="314"/>
      <c r="C875" s="112">
        <f>SUM(E875:G875)</f>
        <v>0</v>
      </c>
      <c r="D875" s="112">
        <v>0</v>
      </c>
      <c r="E875" s="112">
        <v>0</v>
      </c>
      <c r="F875" s="112">
        <v>0</v>
      </c>
      <c r="G875" s="28">
        <v>0</v>
      </c>
      <c r="H875" s="28">
        <f t="shared" si="231"/>
        <v>0</v>
      </c>
      <c r="I875" s="112">
        <v>0</v>
      </c>
      <c r="J875" s="112">
        <v>0</v>
      </c>
      <c r="K875" s="112">
        <v>0</v>
      </c>
      <c r="L875" s="348"/>
      <c r="M875" s="348"/>
      <c r="N875" s="304"/>
      <c r="O875" s="304"/>
    </row>
    <row r="876" spans="1:15" ht="15" customHeight="1">
      <c r="A876" s="314" t="s">
        <v>49</v>
      </c>
      <c r="B876" s="314"/>
      <c r="C876" s="112">
        <f>SUM(E876:G876)</f>
        <v>0</v>
      </c>
      <c r="D876" s="112">
        <v>0</v>
      </c>
      <c r="E876" s="112">
        <v>0</v>
      </c>
      <c r="F876" s="112">
        <v>0</v>
      </c>
      <c r="G876" s="28">
        <v>0</v>
      </c>
      <c r="H876" s="28">
        <f t="shared" si="231"/>
        <v>0</v>
      </c>
      <c r="I876" s="112">
        <v>0</v>
      </c>
      <c r="J876" s="112">
        <v>0</v>
      </c>
      <c r="K876" s="112">
        <v>0</v>
      </c>
      <c r="L876" s="348"/>
      <c r="M876" s="348"/>
      <c r="N876" s="305"/>
      <c r="O876" s="305"/>
    </row>
    <row r="877" spans="1:15" ht="21" customHeight="1">
      <c r="A877" s="334" t="s">
        <v>307</v>
      </c>
      <c r="B877" s="336"/>
      <c r="C877" s="180"/>
      <c r="D877" s="180"/>
      <c r="E877" s="180"/>
      <c r="F877" s="180"/>
      <c r="G877" s="180"/>
      <c r="H877" s="28"/>
      <c r="I877" s="180"/>
      <c r="J877" s="180"/>
      <c r="K877" s="180"/>
      <c r="L877" s="348" t="s">
        <v>265</v>
      </c>
      <c r="M877" s="348"/>
      <c r="N877" s="303" t="s">
        <v>324</v>
      </c>
      <c r="O877" s="303" t="s">
        <v>324</v>
      </c>
    </row>
    <row r="878" spans="1:15" ht="21.75" customHeight="1">
      <c r="A878" s="314" t="s">
        <v>52</v>
      </c>
      <c r="B878" s="314"/>
      <c r="C878" s="112">
        <f aca="true" t="shared" si="236" ref="C878:K878">SUM(C879:C883)</f>
        <v>2899.995</v>
      </c>
      <c r="D878" s="112">
        <f t="shared" si="236"/>
        <v>250</v>
      </c>
      <c r="E878" s="112">
        <f t="shared" si="236"/>
        <v>250</v>
      </c>
      <c r="F878" s="112">
        <f t="shared" si="236"/>
        <v>300</v>
      </c>
      <c r="G878" s="28">
        <f t="shared" si="236"/>
        <v>299.995</v>
      </c>
      <c r="H878" s="28">
        <f t="shared" si="231"/>
        <v>900</v>
      </c>
      <c r="I878" s="112">
        <f t="shared" si="236"/>
        <v>300</v>
      </c>
      <c r="J878" s="112">
        <f t="shared" si="236"/>
        <v>300</v>
      </c>
      <c r="K878" s="112">
        <f t="shared" si="236"/>
        <v>300</v>
      </c>
      <c r="L878" s="348"/>
      <c r="M878" s="348"/>
      <c r="N878" s="304"/>
      <c r="O878" s="304"/>
    </row>
    <row r="879" spans="1:15" ht="15" customHeight="1">
      <c r="A879" s="314" t="s">
        <v>45</v>
      </c>
      <c r="B879" s="314"/>
      <c r="C879" s="112">
        <f>SUM(E879:G879)</f>
        <v>0</v>
      </c>
      <c r="D879" s="112">
        <v>0</v>
      </c>
      <c r="E879" s="112">
        <v>0</v>
      </c>
      <c r="F879" s="112">
        <v>0</v>
      </c>
      <c r="G879" s="28">
        <v>0</v>
      </c>
      <c r="H879" s="28">
        <f t="shared" si="231"/>
        <v>0</v>
      </c>
      <c r="I879" s="112">
        <v>0</v>
      </c>
      <c r="J879" s="112">
        <v>0</v>
      </c>
      <c r="K879" s="112">
        <v>0</v>
      </c>
      <c r="L879" s="348"/>
      <c r="M879" s="348"/>
      <c r="N879" s="304"/>
      <c r="O879" s="304"/>
    </row>
    <row r="880" spans="1:15" ht="15" customHeight="1">
      <c r="A880" s="314" t="s">
        <v>46</v>
      </c>
      <c r="B880" s="314"/>
      <c r="C880" s="112">
        <f>SUM(D880:K880)</f>
        <v>2899.995</v>
      </c>
      <c r="D880" s="112">
        <v>250</v>
      </c>
      <c r="E880" s="112">
        <v>250</v>
      </c>
      <c r="F880" s="112">
        <v>300</v>
      </c>
      <c r="G880" s="28">
        <v>299.995</v>
      </c>
      <c r="H880" s="28">
        <f t="shared" si="231"/>
        <v>900</v>
      </c>
      <c r="I880" s="112">
        <v>300</v>
      </c>
      <c r="J880" s="112">
        <v>300</v>
      </c>
      <c r="K880" s="112">
        <v>300</v>
      </c>
      <c r="L880" s="348"/>
      <c r="M880" s="348"/>
      <c r="N880" s="304"/>
      <c r="O880" s="304"/>
    </row>
    <row r="881" spans="1:15" ht="15" customHeight="1">
      <c r="A881" s="314" t="s">
        <v>47</v>
      </c>
      <c r="B881" s="314"/>
      <c r="C881" s="112">
        <f>SUM(E881:G881)</f>
        <v>0</v>
      </c>
      <c r="D881" s="112">
        <v>0</v>
      </c>
      <c r="E881" s="112">
        <v>0</v>
      </c>
      <c r="F881" s="112">
        <v>0</v>
      </c>
      <c r="G881" s="28">
        <v>0</v>
      </c>
      <c r="H881" s="28">
        <f t="shared" si="231"/>
        <v>0</v>
      </c>
      <c r="I881" s="112">
        <v>0</v>
      </c>
      <c r="J881" s="112">
        <v>0</v>
      </c>
      <c r="K881" s="112">
        <v>0</v>
      </c>
      <c r="L881" s="348"/>
      <c r="M881" s="348"/>
      <c r="N881" s="304"/>
      <c r="O881" s="304"/>
    </row>
    <row r="882" spans="1:15" ht="15" customHeight="1">
      <c r="A882" s="314" t="s">
        <v>48</v>
      </c>
      <c r="B882" s="314"/>
      <c r="C882" s="112">
        <f>SUM(E882:G882)</f>
        <v>0</v>
      </c>
      <c r="D882" s="112">
        <v>0</v>
      </c>
      <c r="E882" s="112">
        <v>0</v>
      </c>
      <c r="F882" s="112">
        <v>0</v>
      </c>
      <c r="G882" s="28">
        <v>0</v>
      </c>
      <c r="H882" s="28">
        <f t="shared" si="231"/>
        <v>0</v>
      </c>
      <c r="I882" s="112">
        <v>0</v>
      </c>
      <c r="J882" s="112">
        <v>0</v>
      </c>
      <c r="K882" s="112">
        <v>0</v>
      </c>
      <c r="L882" s="348"/>
      <c r="M882" s="348"/>
      <c r="N882" s="304"/>
      <c r="O882" s="304"/>
    </row>
    <row r="883" spans="1:15" ht="15" customHeight="1">
      <c r="A883" s="314" t="s">
        <v>49</v>
      </c>
      <c r="B883" s="314"/>
      <c r="C883" s="112">
        <f>SUM(E883:G883)</f>
        <v>0</v>
      </c>
      <c r="D883" s="112">
        <v>0</v>
      </c>
      <c r="E883" s="112">
        <v>0</v>
      </c>
      <c r="F883" s="112">
        <v>0</v>
      </c>
      <c r="G883" s="28">
        <v>0</v>
      </c>
      <c r="H883" s="28">
        <f t="shared" si="231"/>
        <v>0</v>
      </c>
      <c r="I883" s="112">
        <v>0</v>
      </c>
      <c r="J883" s="112">
        <v>0</v>
      </c>
      <c r="K883" s="112">
        <v>0</v>
      </c>
      <c r="L883" s="348"/>
      <c r="M883" s="348"/>
      <c r="N883" s="305"/>
      <c r="O883" s="305"/>
    </row>
    <row r="884" spans="1:15" ht="33.75" customHeight="1">
      <c r="A884" s="334" t="s">
        <v>308</v>
      </c>
      <c r="B884" s="336"/>
      <c r="C884" s="180"/>
      <c r="D884" s="180"/>
      <c r="E884" s="180"/>
      <c r="F884" s="180"/>
      <c r="G884" s="180"/>
      <c r="H884" s="28"/>
      <c r="I884" s="180"/>
      <c r="J884" s="180"/>
      <c r="K884" s="180"/>
      <c r="L884" s="348" t="s">
        <v>265</v>
      </c>
      <c r="M884" s="348"/>
      <c r="N884" s="303" t="s">
        <v>315</v>
      </c>
      <c r="O884" s="303" t="s">
        <v>251</v>
      </c>
    </row>
    <row r="885" spans="1:15" ht="15" customHeight="1">
      <c r="A885" s="314" t="s">
        <v>52</v>
      </c>
      <c r="B885" s="314"/>
      <c r="C885" s="112">
        <f aca="true" t="shared" si="237" ref="C885:K885">SUM(C886:C890)</f>
        <v>780</v>
      </c>
      <c r="D885" s="112">
        <f t="shared" si="237"/>
        <v>100</v>
      </c>
      <c r="E885" s="112">
        <f t="shared" si="237"/>
        <v>100</v>
      </c>
      <c r="F885" s="112">
        <f t="shared" si="237"/>
        <v>100</v>
      </c>
      <c r="G885" s="28">
        <f t="shared" si="237"/>
        <v>0</v>
      </c>
      <c r="H885" s="28">
        <f t="shared" si="231"/>
        <v>240</v>
      </c>
      <c r="I885" s="112">
        <f t="shared" si="237"/>
        <v>80</v>
      </c>
      <c r="J885" s="112">
        <f t="shared" si="237"/>
        <v>80</v>
      </c>
      <c r="K885" s="112">
        <f t="shared" si="237"/>
        <v>80</v>
      </c>
      <c r="L885" s="348"/>
      <c r="M885" s="348"/>
      <c r="N885" s="304"/>
      <c r="O885" s="304"/>
    </row>
    <row r="886" spans="1:15" ht="15" customHeight="1">
      <c r="A886" s="314" t="s">
        <v>45</v>
      </c>
      <c r="B886" s="314"/>
      <c r="C886" s="112">
        <f>SUM(E886:G886)</f>
        <v>0</v>
      </c>
      <c r="D886" s="112">
        <v>0</v>
      </c>
      <c r="E886" s="112">
        <v>0</v>
      </c>
      <c r="F886" s="112">
        <v>0</v>
      </c>
      <c r="G886" s="28">
        <v>0</v>
      </c>
      <c r="H886" s="28">
        <f t="shared" si="231"/>
        <v>0</v>
      </c>
      <c r="I886" s="112">
        <v>0</v>
      </c>
      <c r="J886" s="112">
        <v>0</v>
      </c>
      <c r="K886" s="112">
        <v>0</v>
      </c>
      <c r="L886" s="348"/>
      <c r="M886" s="348"/>
      <c r="N886" s="304"/>
      <c r="O886" s="304"/>
    </row>
    <row r="887" spans="1:15" ht="15" customHeight="1">
      <c r="A887" s="314" t="s">
        <v>46</v>
      </c>
      <c r="B887" s="314"/>
      <c r="C887" s="112">
        <f>SUM(D887:K887)</f>
        <v>780</v>
      </c>
      <c r="D887" s="112">
        <v>100</v>
      </c>
      <c r="E887" s="112">
        <v>100</v>
      </c>
      <c r="F887" s="112">
        <v>100</v>
      </c>
      <c r="G887" s="28">
        <v>0</v>
      </c>
      <c r="H887" s="28">
        <f t="shared" si="231"/>
        <v>240</v>
      </c>
      <c r="I887" s="112">
        <v>80</v>
      </c>
      <c r="J887" s="112">
        <v>80</v>
      </c>
      <c r="K887" s="112">
        <v>80</v>
      </c>
      <c r="L887" s="348"/>
      <c r="M887" s="348"/>
      <c r="N887" s="304"/>
      <c r="O887" s="304"/>
    </row>
    <row r="888" spans="1:15" ht="15" customHeight="1">
      <c r="A888" s="314" t="s">
        <v>47</v>
      </c>
      <c r="B888" s="314"/>
      <c r="C888" s="112">
        <f>SUM(E888:G888)</f>
        <v>0</v>
      </c>
      <c r="D888" s="112">
        <v>0</v>
      </c>
      <c r="E888" s="112">
        <v>0</v>
      </c>
      <c r="F888" s="112">
        <v>0</v>
      </c>
      <c r="G888" s="28">
        <v>0</v>
      </c>
      <c r="H888" s="28">
        <f t="shared" si="231"/>
        <v>0</v>
      </c>
      <c r="I888" s="112">
        <v>0</v>
      </c>
      <c r="J888" s="112">
        <v>0</v>
      </c>
      <c r="K888" s="112">
        <v>0</v>
      </c>
      <c r="L888" s="348"/>
      <c r="M888" s="348"/>
      <c r="N888" s="304"/>
      <c r="O888" s="304"/>
    </row>
    <row r="889" spans="1:15" ht="15" customHeight="1">
      <c r="A889" s="314" t="s">
        <v>48</v>
      </c>
      <c r="B889" s="314"/>
      <c r="C889" s="112">
        <f>SUM(E889:G889)</f>
        <v>0</v>
      </c>
      <c r="D889" s="112">
        <v>0</v>
      </c>
      <c r="E889" s="112">
        <v>0</v>
      </c>
      <c r="F889" s="112">
        <v>0</v>
      </c>
      <c r="G889" s="28">
        <v>0</v>
      </c>
      <c r="H889" s="28">
        <f t="shared" si="231"/>
        <v>0</v>
      </c>
      <c r="I889" s="112">
        <v>0</v>
      </c>
      <c r="J889" s="112">
        <v>0</v>
      </c>
      <c r="K889" s="112">
        <v>0</v>
      </c>
      <c r="L889" s="348"/>
      <c r="M889" s="348"/>
      <c r="N889" s="304"/>
      <c r="O889" s="304"/>
    </row>
    <row r="890" spans="1:15" ht="15" customHeight="1">
      <c r="A890" s="314" t="s">
        <v>49</v>
      </c>
      <c r="B890" s="314"/>
      <c r="C890" s="112">
        <f>SUM(E890:G890)</f>
        <v>0</v>
      </c>
      <c r="D890" s="112">
        <v>0</v>
      </c>
      <c r="E890" s="112">
        <v>0</v>
      </c>
      <c r="F890" s="112">
        <v>0</v>
      </c>
      <c r="G890" s="28">
        <v>0</v>
      </c>
      <c r="H890" s="28">
        <f t="shared" si="231"/>
        <v>0</v>
      </c>
      <c r="I890" s="112">
        <v>0</v>
      </c>
      <c r="J890" s="112">
        <v>0</v>
      </c>
      <c r="K890" s="112">
        <v>0</v>
      </c>
      <c r="L890" s="348"/>
      <c r="M890" s="348"/>
      <c r="N890" s="305"/>
      <c r="O890" s="305"/>
    </row>
    <row r="891" spans="1:15" ht="33" customHeight="1">
      <c r="A891" s="334" t="s">
        <v>309</v>
      </c>
      <c r="B891" s="336"/>
      <c r="C891" s="180"/>
      <c r="D891" s="180"/>
      <c r="E891" s="180"/>
      <c r="F891" s="180"/>
      <c r="G891" s="180"/>
      <c r="H891" s="28"/>
      <c r="I891" s="180"/>
      <c r="J891" s="180"/>
      <c r="K891" s="180"/>
      <c r="L891" s="348" t="s">
        <v>265</v>
      </c>
      <c r="M891" s="348"/>
      <c r="N891" s="303" t="s">
        <v>256</v>
      </c>
      <c r="O891" s="303" t="s">
        <v>299</v>
      </c>
    </row>
    <row r="892" spans="1:15" ht="15" customHeight="1">
      <c r="A892" s="314" t="s">
        <v>52</v>
      </c>
      <c r="B892" s="314"/>
      <c r="C892" s="112">
        <f aca="true" t="shared" si="238" ref="C892:K892">SUM(C893:C897)</f>
        <v>1165</v>
      </c>
      <c r="D892" s="112">
        <f t="shared" si="238"/>
        <v>150</v>
      </c>
      <c r="E892" s="112">
        <f t="shared" si="238"/>
        <v>72</v>
      </c>
      <c r="F892" s="112">
        <f t="shared" si="238"/>
        <v>43</v>
      </c>
      <c r="G892" s="28">
        <f t="shared" si="238"/>
        <v>0</v>
      </c>
      <c r="H892" s="28">
        <f t="shared" si="231"/>
        <v>450</v>
      </c>
      <c r="I892" s="112">
        <f t="shared" si="238"/>
        <v>150</v>
      </c>
      <c r="J892" s="112">
        <f t="shared" si="238"/>
        <v>150</v>
      </c>
      <c r="K892" s="112">
        <f t="shared" si="238"/>
        <v>150</v>
      </c>
      <c r="L892" s="348"/>
      <c r="M892" s="348"/>
      <c r="N892" s="304"/>
      <c r="O892" s="304"/>
    </row>
    <row r="893" spans="1:15" ht="15" customHeight="1">
      <c r="A893" s="314" t="s">
        <v>45</v>
      </c>
      <c r="B893" s="314"/>
      <c r="C893" s="112">
        <f>SUM(E893:G893)</f>
        <v>0</v>
      </c>
      <c r="D893" s="112">
        <v>0</v>
      </c>
      <c r="E893" s="112">
        <v>0</v>
      </c>
      <c r="F893" s="112">
        <v>0</v>
      </c>
      <c r="G893" s="28">
        <v>0</v>
      </c>
      <c r="H893" s="28">
        <f t="shared" si="231"/>
        <v>0</v>
      </c>
      <c r="I893" s="112">
        <v>0</v>
      </c>
      <c r="J893" s="112">
        <v>0</v>
      </c>
      <c r="K893" s="112">
        <v>0</v>
      </c>
      <c r="L893" s="348"/>
      <c r="M893" s="348"/>
      <c r="N893" s="304"/>
      <c r="O893" s="304"/>
    </row>
    <row r="894" spans="1:15" ht="15" customHeight="1">
      <c r="A894" s="314" t="s">
        <v>46</v>
      </c>
      <c r="B894" s="314"/>
      <c r="C894" s="112">
        <f>SUM(D894:K894)</f>
        <v>1165</v>
      </c>
      <c r="D894" s="112">
        <v>150</v>
      </c>
      <c r="E894" s="112">
        <v>72</v>
      </c>
      <c r="F894" s="112">
        <v>43</v>
      </c>
      <c r="G894" s="28">
        <v>0</v>
      </c>
      <c r="H894" s="28">
        <f t="shared" si="231"/>
        <v>450</v>
      </c>
      <c r="I894" s="112">
        <v>150</v>
      </c>
      <c r="J894" s="112">
        <v>150</v>
      </c>
      <c r="K894" s="112">
        <v>150</v>
      </c>
      <c r="L894" s="348"/>
      <c r="M894" s="348"/>
      <c r="N894" s="304"/>
      <c r="O894" s="304"/>
    </row>
    <row r="895" spans="1:15" ht="15" customHeight="1">
      <c r="A895" s="314" t="s">
        <v>47</v>
      </c>
      <c r="B895" s="314"/>
      <c r="C895" s="112">
        <f>SUM(E895:G895)</f>
        <v>0</v>
      </c>
      <c r="D895" s="112">
        <v>0</v>
      </c>
      <c r="E895" s="112">
        <v>0</v>
      </c>
      <c r="F895" s="112">
        <v>0</v>
      </c>
      <c r="G895" s="28">
        <v>0</v>
      </c>
      <c r="H895" s="28">
        <f t="shared" si="231"/>
        <v>0</v>
      </c>
      <c r="I895" s="112">
        <v>0</v>
      </c>
      <c r="J895" s="112">
        <v>0</v>
      </c>
      <c r="K895" s="112">
        <v>0</v>
      </c>
      <c r="L895" s="348"/>
      <c r="M895" s="348"/>
      <c r="N895" s="304"/>
      <c r="O895" s="304"/>
    </row>
    <row r="896" spans="1:15" ht="15" customHeight="1">
      <c r="A896" s="314" t="s">
        <v>48</v>
      </c>
      <c r="B896" s="314"/>
      <c r="C896" s="112">
        <f>SUM(E896:G896)</f>
        <v>0</v>
      </c>
      <c r="D896" s="112">
        <v>0</v>
      </c>
      <c r="E896" s="112">
        <v>0</v>
      </c>
      <c r="F896" s="112">
        <v>0</v>
      </c>
      <c r="G896" s="28">
        <v>0</v>
      </c>
      <c r="H896" s="28">
        <f t="shared" si="231"/>
        <v>0</v>
      </c>
      <c r="I896" s="112">
        <v>0</v>
      </c>
      <c r="J896" s="112">
        <v>0</v>
      </c>
      <c r="K896" s="112">
        <v>0</v>
      </c>
      <c r="L896" s="348"/>
      <c r="M896" s="348"/>
      <c r="N896" s="304"/>
      <c r="O896" s="304"/>
    </row>
    <row r="897" spans="1:15" ht="15" customHeight="1">
      <c r="A897" s="314" t="s">
        <v>49</v>
      </c>
      <c r="B897" s="314"/>
      <c r="C897" s="112">
        <f>SUM(E897:G897)</f>
        <v>0</v>
      </c>
      <c r="D897" s="112">
        <v>0</v>
      </c>
      <c r="E897" s="112">
        <v>0</v>
      </c>
      <c r="F897" s="112">
        <v>0</v>
      </c>
      <c r="G897" s="28">
        <v>0</v>
      </c>
      <c r="H897" s="28">
        <f t="shared" si="231"/>
        <v>0</v>
      </c>
      <c r="I897" s="112">
        <v>0</v>
      </c>
      <c r="J897" s="112">
        <v>0</v>
      </c>
      <c r="K897" s="112">
        <v>0</v>
      </c>
      <c r="L897" s="348"/>
      <c r="M897" s="348"/>
      <c r="N897" s="305"/>
      <c r="O897" s="305"/>
    </row>
    <row r="898" spans="1:15" ht="27.75" customHeight="1">
      <c r="A898" s="334" t="s">
        <v>310</v>
      </c>
      <c r="B898" s="336"/>
      <c r="C898" s="180"/>
      <c r="D898" s="180"/>
      <c r="E898" s="180"/>
      <c r="F898" s="180"/>
      <c r="G898" s="180"/>
      <c r="H898" s="28"/>
      <c r="I898" s="180"/>
      <c r="J898" s="180"/>
      <c r="K898" s="180"/>
      <c r="L898" s="348" t="s">
        <v>265</v>
      </c>
      <c r="M898" s="348"/>
      <c r="N898" s="303" t="s">
        <v>315</v>
      </c>
      <c r="O898" s="303" t="s">
        <v>251</v>
      </c>
    </row>
    <row r="899" spans="1:15" ht="15" customHeight="1">
      <c r="A899" s="314" t="s">
        <v>52</v>
      </c>
      <c r="B899" s="314"/>
      <c r="C899" s="112">
        <f aca="true" t="shared" si="239" ref="C899:K899">SUM(C900:C904)</f>
        <v>450</v>
      </c>
      <c r="D899" s="112">
        <f t="shared" si="239"/>
        <v>50</v>
      </c>
      <c r="E899" s="112">
        <f t="shared" si="239"/>
        <v>50</v>
      </c>
      <c r="F899" s="112">
        <f t="shared" si="239"/>
        <v>50</v>
      </c>
      <c r="G899" s="28">
        <f t="shared" si="239"/>
        <v>0</v>
      </c>
      <c r="H899" s="28">
        <f t="shared" si="231"/>
        <v>150</v>
      </c>
      <c r="I899" s="112">
        <f t="shared" si="239"/>
        <v>50</v>
      </c>
      <c r="J899" s="112">
        <f t="shared" si="239"/>
        <v>50</v>
      </c>
      <c r="K899" s="112">
        <f t="shared" si="239"/>
        <v>50</v>
      </c>
      <c r="L899" s="348"/>
      <c r="M899" s="348"/>
      <c r="N899" s="304"/>
      <c r="O899" s="304"/>
    </row>
    <row r="900" spans="1:15" ht="22.5" customHeight="1">
      <c r="A900" s="314" t="s">
        <v>45</v>
      </c>
      <c r="B900" s="314"/>
      <c r="C900" s="112">
        <f>SUM(E900:G900)</f>
        <v>0</v>
      </c>
      <c r="D900" s="112">
        <v>0</v>
      </c>
      <c r="E900" s="112">
        <v>0</v>
      </c>
      <c r="F900" s="112">
        <v>0</v>
      </c>
      <c r="G900" s="28">
        <v>0</v>
      </c>
      <c r="H900" s="28">
        <f t="shared" si="231"/>
        <v>0</v>
      </c>
      <c r="I900" s="112">
        <v>0</v>
      </c>
      <c r="J900" s="112">
        <v>0</v>
      </c>
      <c r="K900" s="112">
        <v>0</v>
      </c>
      <c r="L900" s="348"/>
      <c r="M900" s="348"/>
      <c r="N900" s="304"/>
      <c r="O900" s="304"/>
    </row>
    <row r="901" spans="1:15" ht="15" customHeight="1">
      <c r="A901" s="314" t="s">
        <v>46</v>
      </c>
      <c r="B901" s="314"/>
      <c r="C901" s="112">
        <f>SUM(D901:K901)</f>
        <v>450</v>
      </c>
      <c r="D901" s="112">
        <v>50</v>
      </c>
      <c r="E901" s="112">
        <v>50</v>
      </c>
      <c r="F901" s="112">
        <v>50</v>
      </c>
      <c r="G901" s="28">
        <v>0</v>
      </c>
      <c r="H901" s="28">
        <f t="shared" si="231"/>
        <v>150</v>
      </c>
      <c r="I901" s="112">
        <v>50</v>
      </c>
      <c r="J901" s="112">
        <v>50</v>
      </c>
      <c r="K901" s="112">
        <v>50</v>
      </c>
      <c r="L901" s="348"/>
      <c r="M901" s="348"/>
      <c r="N901" s="304"/>
      <c r="O901" s="304"/>
    </row>
    <row r="902" spans="1:15" ht="15" customHeight="1">
      <c r="A902" s="314" t="s">
        <v>47</v>
      </c>
      <c r="B902" s="314"/>
      <c r="C902" s="112">
        <f>SUM(E902:G902)</f>
        <v>0</v>
      </c>
      <c r="D902" s="112">
        <v>0</v>
      </c>
      <c r="E902" s="112">
        <v>0</v>
      </c>
      <c r="F902" s="112">
        <v>0</v>
      </c>
      <c r="G902" s="28">
        <v>0</v>
      </c>
      <c r="H902" s="28">
        <f t="shared" si="231"/>
        <v>0</v>
      </c>
      <c r="I902" s="112">
        <v>0</v>
      </c>
      <c r="J902" s="112">
        <v>0</v>
      </c>
      <c r="K902" s="112">
        <v>0</v>
      </c>
      <c r="L902" s="348"/>
      <c r="M902" s="348"/>
      <c r="N902" s="304"/>
      <c r="O902" s="304"/>
    </row>
    <row r="903" spans="1:15" ht="15" customHeight="1">
      <c r="A903" s="314" t="s">
        <v>48</v>
      </c>
      <c r="B903" s="314"/>
      <c r="C903" s="112">
        <f>SUM(E903:G903)</f>
        <v>0</v>
      </c>
      <c r="D903" s="112">
        <v>0</v>
      </c>
      <c r="E903" s="112">
        <v>0</v>
      </c>
      <c r="F903" s="112">
        <v>0</v>
      </c>
      <c r="G903" s="28">
        <v>0</v>
      </c>
      <c r="H903" s="28">
        <f t="shared" si="231"/>
        <v>0</v>
      </c>
      <c r="I903" s="112">
        <v>0</v>
      </c>
      <c r="J903" s="112">
        <v>0</v>
      </c>
      <c r="K903" s="112">
        <v>0</v>
      </c>
      <c r="L903" s="348"/>
      <c r="M903" s="348"/>
      <c r="N903" s="304"/>
      <c r="O903" s="304"/>
    </row>
    <row r="904" spans="1:15" ht="15" customHeight="1">
      <c r="A904" s="314" t="s">
        <v>49</v>
      </c>
      <c r="B904" s="314"/>
      <c r="C904" s="112">
        <f>SUM(E904:G904)</f>
        <v>0</v>
      </c>
      <c r="D904" s="112">
        <v>0</v>
      </c>
      <c r="E904" s="112">
        <v>0</v>
      </c>
      <c r="F904" s="112">
        <v>0</v>
      </c>
      <c r="G904" s="28">
        <v>0</v>
      </c>
      <c r="H904" s="28">
        <f t="shared" si="231"/>
        <v>0</v>
      </c>
      <c r="I904" s="112">
        <v>0</v>
      </c>
      <c r="J904" s="112">
        <v>0</v>
      </c>
      <c r="K904" s="112">
        <v>0</v>
      </c>
      <c r="L904" s="348"/>
      <c r="M904" s="348"/>
      <c r="N904" s="305"/>
      <c r="O904" s="305"/>
    </row>
    <row r="905" spans="1:15" ht="48" customHeight="1">
      <c r="A905" s="334" t="s">
        <v>311</v>
      </c>
      <c r="B905" s="336"/>
      <c r="C905" s="180"/>
      <c r="D905" s="180"/>
      <c r="E905" s="180"/>
      <c r="F905" s="180"/>
      <c r="G905" s="180"/>
      <c r="H905" s="28"/>
      <c r="I905" s="180"/>
      <c r="J905" s="180"/>
      <c r="K905" s="180"/>
      <c r="L905" s="348" t="s">
        <v>265</v>
      </c>
      <c r="M905" s="348"/>
      <c r="N905" s="303" t="s">
        <v>315</v>
      </c>
      <c r="O905" s="303" t="s">
        <v>251</v>
      </c>
    </row>
    <row r="906" spans="1:15" ht="15" customHeight="1">
      <c r="A906" s="314" t="s">
        <v>52</v>
      </c>
      <c r="B906" s="314"/>
      <c r="C906" s="112">
        <f aca="true" t="shared" si="240" ref="C906:K906">SUM(C907:C911)</f>
        <v>3568</v>
      </c>
      <c r="D906" s="112">
        <f t="shared" si="240"/>
        <v>150</v>
      </c>
      <c r="E906" s="112">
        <f t="shared" si="240"/>
        <v>150</v>
      </c>
      <c r="F906" s="112">
        <f t="shared" si="240"/>
        <v>368</v>
      </c>
      <c r="G906" s="28">
        <f t="shared" si="240"/>
        <v>400</v>
      </c>
      <c r="H906" s="28">
        <f t="shared" si="231"/>
        <v>1250</v>
      </c>
      <c r="I906" s="112">
        <f t="shared" si="240"/>
        <v>450</v>
      </c>
      <c r="J906" s="112">
        <f t="shared" si="240"/>
        <v>400</v>
      </c>
      <c r="K906" s="112">
        <f t="shared" si="240"/>
        <v>400</v>
      </c>
      <c r="L906" s="348"/>
      <c r="M906" s="348"/>
      <c r="N906" s="304"/>
      <c r="O906" s="304"/>
    </row>
    <row r="907" spans="1:42" s="11" customFormat="1" ht="19.5" customHeight="1">
      <c r="A907" s="314" t="s">
        <v>45</v>
      </c>
      <c r="B907" s="314"/>
      <c r="C907" s="112">
        <f>SUM(E907:G907)</f>
        <v>0</v>
      </c>
      <c r="D907" s="112">
        <v>0</v>
      </c>
      <c r="E907" s="112">
        <v>0</v>
      </c>
      <c r="F907" s="112">
        <v>0</v>
      </c>
      <c r="G907" s="28">
        <v>0</v>
      </c>
      <c r="H907" s="28">
        <f t="shared" si="231"/>
        <v>0</v>
      </c>
      <c r="I907" s="112">
        <v>0</v>
      </c>
      <c r="J907" s="112">
        <v>0</v>
      </c>
      <c r="K907" s="112">
        <v>0</v>
      </c>
      <c r="L907" s="348"/>
      <c r="M907" s="348"/>
      <c r="N907" s="304"/>
      <c r="O907" s="304"/>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6"/>
      <c r="AL907" s="146"/>
      <c r="AM907" s="146"/>
      <c r="AN907" s="146"/>
      <c r="AO907" s="146"/>
      <c r="AP907" s="146"/>
    </row>
    <row r="908" spans="1:15" ht="15" customHeight="1">
      <c r="A908" s="314" t="s">
        <v>46</v>
      </c>
      <c r="B908" s="314"/>
      <c r="C908" s="112">
        <f>SUM(D908:K908)</f>
        <v>3568</v>
      </c>
      <c r="D908" s="112">
        <v>150</v>
      </c>
      <c r="E908" s="112">
        <v>150</v>
      </c>
      <c r="F908" s="112">
        <v>368</v>
      </c>
      <c r="G908" s="28">
        <v>400</v>
      </c>
      <c r="H908" s="28">
        <f t="shared" si="231"/>
        <v>1250</v>
      </c>
      <c r="I908" s="112">
        <v>450</v>
      </c>
      <c r="J908" s="112">
        <v>400</v>
      </c>
      <c r="K908" s="112">
        <v>400</v>
      </c>
      <c r="L908" s="348"/>
      <c r="M908" s="348"/>
      <c r="N908" s="304"/>
      <c r="O908" s="304"/>
    </row>
    <row r="909" spans="1:15" ht="15" customHeight="1">
      <c r="A909" s="314" t="s">
        <v>47</v>
      </c>
      <c r="B909" s="314"/>
      <c r="C909" s="112">
        <f>SUM(E909:G909)</f>
        <v>0</v>
      </c>
      <c r="D909" s="112">
        <v>0</v>
      </c>
      <c r="E909" s="112">
        <v>0</v>
      </c>
      <c r="F909" s="112">
        <v>0</v>
      </c>
      <c r="G909" s="28">
        <v>0</v>
      </c>
      <c r="H909" s="28">
        <f t="shared" si="231"/>
        <v>0</v>
      </c>
      <c r="I909" s="112">
        <v>0</v>
      </c>
      <c r="J909" s="112">
        <v>0</v>
      </c>
      <c r="K909" s="112">
        <v>0</v>
      </c>
      <c r="L909" s="348"/>
      <c r="M909" s="348"/>
      <c r="N909" s="304"/>
      <c r="O909" s="304"/>
    </row>
    <row r="910" spans="1:15" ht="15" customHeight="1">
      <c r="A910" s="314" t="s">
        <v>48</v>
      </c>
      <c r="B910" s="314"/>
      <c r="C910" s="112">
        <f>SUM(E910:G910)</f>
        <v>0</v>
      </c>
      <c r="D910" s="112">
        <v>0</v>
      </c>
      <c r="E910" s="112">
        <v>0</v>
      </c>
      <c r="F910" s="112">
        <v>0</v>
      </c>
      <c r="G910" s="28">
        <v>0</v>
      </c>
      <c r="H910" s="28">
        <f t="shared" si="231"/>
        <v>0</v>
      </c>
      <c r="I910" s="112">
        <v>0</v>
      </c>
      <c r="J910" s="112">
        <v>0</v>
      </c>
      <c r="K910" s="112">
        <v>0</v>
      </c>
      <c r="L910" s="348"/>
      <c r="M910" s="348"/>
      <c r="N910" s="304"/>
      <c r="O910" s="304"/>
    </row>
    <row r="911" spans="1:15" ht="15" customHeight="1">
      <c r="A911" s="314" t="s">
        <v>49</v>
      </c>
      <c r="B911" s="314"/>
      <c r="C911" s="112">
        <f>SUM(E911:G911)</f>
        <v>0</v>
      </c>
      <c r="D911" s="112">
        <v>0</v>
      </c>
      <c r="E911" s="112">
        <v>0</v>
      </c>
      <c r="F911" s="112">
        <v>0</v>
      </c>
      <c r="G911" s="28">
        <v>0</v>
      </c>
      <c r="H911" s="28">
        <f aca="true" t="shared" si="241" ref="H911:H974">I911+J911+K911</f>
        <v>0</v>
      </c>
      <c r="I911" s="112">
        <v>0</v>
      </c>
      <c r="J911" s="112">
        <v>0</v>
      </c>
      <c r="K911" s="112">
        <v>0</v>
      </c>
      <c r="L911" s="348"/>
      <c r="M911" s="348"/>
      <c r="N911" s="305"/>
      <c r="O911" s="305"/>
    </row>
    <row r="912" spans="1:15" ht="15" customHeight="1">
      <c r="A912" s="445" t="s">
        <v>312</v>
      </c>
      <c r="B912" s="446"/>
      <c r="C912" s="152"/>
      <c r="D912" s="152"/>
      <c r="E912" s="152"/>
      <c r="F912" s="152"/>
      <c r="G912" s="152"/>
      <c r="H912" s="28"/>
      <c r="I912" s="152"/>
      <c r="J912" s="152"/>
      <c r="K912" s="152"/>
      <c r="L912" s="348" t="s">
        <v>265</v>
      </c>
      <c r="M912" s="348"/>
      <c r="N912" s="315"/>
      <c r="O912" s="315"/>
    </row>
    <row r="913" spans="1:15" ht="15" customHeight="1">
      <c r="A913" s="349" t="s">
        <v>52</v>
      </c>
      <c r="B913" s="349"/>
      <c r="C913" s="112">
        <f aca="true" t="shared" si="242" ref="C913:K913">SUM(C914:C918)</f>
        <v>200</v>
      </c>
      <c r="D913" s="112">
        <f t="shared" si="242"/>
        <v>100</v>
      </c>
      <c r="E913" s="112">
        <f t="shared" si="242"/>
        <v>100</v>
      </c>
      <c r="F913" s="112">
        <f t="shared" si="242"/>
        <v>0</v>
      </c>
      <c r="G913" s="28">
        <f t="shared" si="242"/>
        <v>0</v>
      </c>
      <c r="H913" s="28">
        <f t="shared" si="241"/>
        <v>0</v>
      </c>
      <c r="I913" s="112">
        <f t="shared" si="242"/>
        <v>0</v>
      </c>
      <c r="J913" s="112">
        <f t="shared" si="242"/>
        <v>0</v>
      </c>
      <c r="K913" s="112">
        <f t="shared" si="242"/>
        <v>0</v>
      </c>
      <c r="L913" s="348"/>
      <c r="M913" s="348"/>
      <c r="N913" s="315"/>
      <c r="O913" s="315"/>
    </row>
    <row r="914" spans="1:15" ht="15" customHeight="1">
      <c r="A914" s="349" t="s">
        <v>45</v>
      </c>
      <c r="B914" s="349"/>
      <c r="C914" s="112">
        <f>SUM(E914:G914)</f>
        <v>0</v>
      </c>
      <c r="D914" s="112">
        <v>0</v>
      </c>
      <c r="E914" s="112">
        <v>0</v>
      </c>
      <c r="F914" s="112">
        <v>0</v>
      </c>
      <c r="G914" s="28">
        <v>0</v>
      </c>
      <c r="H914" s="28">
        <f t="shared" si="241"/>
        <v>0</v>
      </c>
      <c r="I914" s="112">
        <v>0</v>
      </c>
      <c r="J914" s="112">
        <v>0</v>
      </c>
      <c r="K914" s="112">
        <v>0</v>
      </c>
      <c r="L914" s="348"/>
      <c r="M914" s="348"/>
      <c r="N914" s="315"/>
      <c r="O914" s="315"/>
    </row>
    <row r="915" spans="1:15" ht="15" customHeight="1">
      <c r="A915" s="349" t="s">
        <v>46</v>
      </c>
      <c r="B915" s="349"/>
      <c r="C915" s="112">
        <f>SUM(D915:K915)</f>
        <v>200</v>
      </c>
      <c r="D915" s="112">
        <v>100</v>
      </c>
      <c r="E915" s="112">
        <v>100</v>
      </c>
      <c r="F915" s="112">
        <v>0</v>
      </c>
      <c r="G915" s="28">
        <v>0</v>
      </c>
      <c r="H915" s="28">
        <f t="shared" si="241"/>
        <v>0</v>
      </c>
      <c r="I915" s="112">
        <v>0</v>
      </c>
      <c r="J915" s="112">
        <v>0</v>
      </c>
      <c r="K915" s="112">
        <v>0</v>
      </c>
      <c r="L915" s="348"/>
      <c r="M915" s="348"/>
      <c r="N915" s="315"/>
      <c r="O915" s="315"/>
    </row>
    <row r="916" spans="1:15" ht="15" customHeight="1">
      <c r="A916" s="349" t="s">
        <v>47</v>
      </c>
      <c r="B916" s="349"/>
      <c r="C916" s="112">
        <f>SUM(E916:G916)</f>
        <v>0</v>
      </c>
      <c r="D916" s="112">
        <v>0</v>
      </c>
      <c r="E916" s="112">
        <v>0</v>
      </c>
      <c r="F916" s="112">
        <v>0</v>
      </c>
      <c r="G916" s="28">
        <v>0</v>
      </c>
      <c r="H916" s="28">
        <f t="shared" si="241"/>
        <v>0</v>
      </c>
      <c r="I916" s="112">
        <v>0</v>
      </c>
      <c r="J916" s="112">
        <v>0</v>
      </c>
      <c r="K916" s="112">
        <v>0</v>
      </c>
      <c r="L916" s="348"/>
      <c r="M916" s="348"/>
      <c r="N916" s="315"/>
      <c r="O916" s="315"/>
    </row>
    <row r="917" spans="1:15" ht="15" customHeight="1">
      <c r="A917" s="349" t="s">
        <v>48</v>
      </c>
      <c r="B917" s="349"/>
      <c r="C917" s="112">
        <f>SUM(E917:G917)</f>
        <v>0</v>
      </c>
      <c r="D917" s="112">
        <v>0</v>
      </c>
      <c r="E917" s="112">
        <v>0</v>
      </c>
      <c r="F917" s="112">
        <v>0</v>
      </c>
      <c r="G917" s="28">
        <v>0</v>
      </c>
      <c r="H917" s="28">
        <f t="shared" si="241"/>
        <v>0</v>
      </c>
      <c r="I917" s="112">
        <v>0</v>
      </c>
      <c r="J917" s="112">
        <v>0</v>
      </c>
      <c r="K917" s="112">
        <v>0</v>
      </c>
      <c r="L917" s="348"/>
      <c r="M917" s="348"/>
      <c r="N917" s="315"/>
      <c r="O917" s="315"/>
    </row>
    <row r="918" spans="1:15" ht="15" customHeight="1">
      <c r="A918" s="349" t="s">
        <v>49</v>
      </c>
      <c r="B918" s="349"/>
      <c r="C918" s="112">
        <f>SUM(E918:G918)</f>
        <v>0</v>
      </c>
      <c r="D918" s="112">
        <v>0</v>
      </c>
      <c r="E918" s="112">
        <v>0</v>
      </c>
      <c r="F918" s="112">
        <v>0</v>
      </c>
      <c r="G918" s="28">
        <v>0</v>
      </c>
      <c r="H918" s="28">
        <f t="shared" si="241"/>
        <v>0</v>
      </c>
      <c r="I918" s="112">
        <v>0</v>
      </c>
      <c r="J918" s="112">
        <v>0</v>
      </c>
      <c r="K918" s="112">
        <v>0</v>
      </c>
      <c r="L918" s="348"/>
      <c r="M918" s="348"/>
      <c r="N918" s="315"/>
      <c r="O918" s="315"/>
    </row>
    <row r="919" spans="1:15" ht="15" customHeight="1">
      <c r="A919" s="334" t="s">
        <v>313</v>
      </c>
      <c r="B919" s="336"/>
      <c r="C919" s="180"/>
      <c r="D919" s="180"/>
      <c r="E919" s="180"/>
      <c r="F919" s="180"/>
      <c r="G919" s="180"/>
      <c r="H919" s="28"/>
      <c r="I919" s="180"/>
      <c r="J919" s="180"/>
      <c r="K919" s="180"/>
      <c r="L919" s="348" t="s">
        <v>265</v>
      </c>
      <c r="M919" s="348"/>
      <c r="N919" s="303" t="s">
        <v>315</v>
      </c>
      <c r="O919" s="303" t="s">
        <v>251</v>
      </c>
    </row>
    <row r="920" spans="1:15" ht="15" customHeight="1">
      <c r="A920" s="314" t="s">
        <v>52</v>
      </c>
      <c r="B920" s="314"/>
      <c r="C920" s="112">
        <f aca="true" t="shared" si="243" ref="C920:K920">SUM(C921:C925)</f>
        <v>88052.70886000001</v>
      </c>
      <c r="D920" s="112">
        <f t="shared" si="243"/>
        <v>11374.026</v>
      </c>
      <c r="E920" s="112">
        <f t="shared" si="243"/>
        <v>11952.00186</v>
      </c>
      <c r="F920" s="112">
        <f t="shared" si="243"/>
        <v>8705.22</v>
      </c>
      <c r="G920" s="28">
        <f t="shared" si="243"/>
        <v>6677.461</v>
      </c>
      <c r="H920" s="28">
        <f t="shared" si="241"/>
        <v>24672</v>
      </c>
      <c r="I920" s="112">
        <f t="shared" si="243"/>
        <v>6740.8</v>
      </c>
      <c r="J920" s="112">
        <f t="shared" si="243"/>
        <v>8521.1</v>
      </c>
      <c r="K920" s="112">
        <f t="shared" si="243"/>
        <v>9410.1</v>
      </c>
      <c r="L920" s="348"/>
      <c r="M920" s="348"/>
      <c r="N920" s="304"/>
      <c r="O920" s="304"/>
    </row>
    <row r="921" spans="1:15" ht="15" customHeight="1">
      <c r="A921" s="314" t="s">
        <v>45</v>
      </c>
      <c r="B921" s="314"/>
      <c r="C921" s="112">
        <f>SUM(E921:G921)</f>
        <v>0</v>
      </c>
      <c r="D921" s="112">
        <v>0</v>
      </c>
      <c r="E921" s="112">
        <v>0</v>
      </c>
      <c r="F921" s="112">
        <v>0</v>
      </c>
      <c r="G921" s="28">
        <v>0</v>
      </c>
      <c r="H921" s="28">
        <f t="shared" si="241"/>
        <v>0</v>
      </c>
      <c r="I921" s="112">
        <v>0</v>
      </c>
      <c r="J921" s="112">
        <v>0</v>
      </c>
      <c r="K921" s="112">
        <v>0</v>
      </c>
      <c r="L921" s="348"/>
      <c r="M921" s="348"/>
      <c r="N921" s="304"/>
      <c r="O921" s="304"/>
    </row>
    <row r="922" spans="1:15" ht="15" customHeight="1">
      <c r="A922" s="314" t="s">
        <v>46</v>
      </c>
      <c r="B922" s="314"/>
      <c r="C922" s="112">
        <f>SUM(D922:K922)</f>
        <v>88052.70886000001</v>
      </c>
      <c r="D922" s="112">
        <v>11374.026</v>
      </c>
      <c r="E922" s="112">
        <v>11952.00186</v>
      </c>
      <c r="F922" s="112">
        <v>8705.22</v>
      </c>
      <c r="G922" s="28">
        <v>6677.461</v>
      </c>
      <c r="H922" s="28">
        <f t="shared" si="241"/>
        <v>24672</v>
      </c>
      <c r="I922" s="112">
        <v>6740.8</v>
      </c>
      <c r="J922" s="112">
        <v>8521.1</v>
      </c>
      <c r="K922" s="112">
        <v>9410.1</v>
      </c>
      <c r="L922" s="348"/>
      <c r="M922" s="348"/>
      <c r="N922" s="304"/>
      <c r="O922" s="304"/>
    </row>
    <row r="923" spans="1:15" ht="15" customHeight="1">
      <c r="A923" s="314" t="s">
        <v>47</v>
      </c>
      <c r="B923" s="314"/>
      <c r="C923" s="112">
        <f>SUM(E923:G923)</f>
        <v>0</v>
      </c>
      <c r="D923" s="112">
        <v>0</v>
      </c>
      <c r="E923" s="112">
        <v>0</v>
      </c>
      <c r="F923" s="112">
        <v>0</v>
      </c>
      <c r="G923" s="28">
        <v>0</v>
      </c>
      <c r="H923" s="28">
        <f t="shared" si="241"/>
        <v>0</v>
      </c>
      <c r="I923" s="112">
        <v>0</v>
      </c>
      <c r="J923" s="112">
        <v>0</v>
      </c>
      <c r="K923" s="112">
        <v>0</v>
      </c>
      <c r="L923" s="348"/>
      <c r="M923" s="348"/>
      <c r="N923" s="304"/>
      <c r="O923" s="304"/>
    </row>
    <row r="924" spans="1:15" ht="15" customHeight="1">
      <c r="A924" s="314" t="s">
        <v>48</v>
      </c>
      <c r="B924" s="314"/>
      <c r="C924" s="112">
        <f>SUM(E924:G924)</f>
        <v>0</v>
      </c>
      <c r="D924" s="112">
        <v>0</v>
      </c>
      <c r="E924" s="112">
        <v>0</v>
      </c>
      <c r="F924" s="112">
        <v>0</v>
      </c>
      <c r="G924" s="28">
        <v>0</v>
      </c>
      <c r="H924" s="28">
        <f t="shared" si="241"/>
        <v>0</v>
      </c>
      <c r="I924" s="112">
        <v>0</v>
      </c>
      <c r="J924" s="112">
        <v>0</v>
      </c>
      <c r="K924" s="112">
        <v>0</v>
      </c>
      <c r="L924" s="348"/>
      <c r="M924" s="348"/>
      <c r="N924" s="304"/>
      <c r="O924" s="304"/>
    </row>
    <row r="925" spans="1:15" ht="15" customHeight="1">
      <c r="A925" s="314" t="s">
        <v>49</v>
      </c>
      <c r="B925" s="314"/>
      <c r="C925" s="112">
        <f>SUM(E925:G925)</f>
        <v>0</v>
      </c>
      <c r="D925" s="112">
        <v>0</v>
      </c>
      <c r="E925" s="112">
        <v>0</v>
      </c>
      <c r="F925" s="112">
        <v>0</v>
      </c>
      <c r="G925" s="28">
        <v>0</v>
      </c>
      <c r="H925" s="28">
        <f t="shared" si="241"/>
        <v>0</v>
      </c>
      <c r="I925" s="112">
        <v>0</v>
      </c>
      <c r="J925" s="112">
        <v>0</v>
      </c>
      <c r="K925" s="112">
        <v>0</v>
      </c>
      <c r="L925" s="348"/>
      <c r="M925" s="348"/>
      <c r="N925" s="305"/>
      <c r="O925" s="305"/>
    </row>
    <row r="926" spans="1:15" ht="15" customHeight="1">
      <c r="A926" s="334" t="s">
        <v>314</v>
      </c>
      <c r="B926" s="336"/>
      <c r="C926" s="180"/>
      <c r="D926" s="180"/>
      <c r="E926" s="180"/>
      <c r="F926" s="180"/>
      <c r="G926" s="180"/>
      <c r="H926" s="28"/>
      <c r="I926" s="180"/>
      <c r="J926" s="180"/>
      <c r="K926" s="180"/>
      <c r="L926" s="348" t="s">
        <v>265</v>
      </c>
      <c r="M926" s="348"/>
      <c r="N926" s="303" t="s">
        <v>315</v>
      </c>
      <c r="O926" s="303" t="s">
        <v>251</v>
      </c>
    </row>
    <row r="927" spans="1:15" ht="15" customHeight="1">
      <c r="A927" s="314" t="s">
        <v>52</v>
      </c>
      <c r="B927" s="314"/>
      <c r="C927" s="112">
        <f aca="true" t="shared" si="244" ref="C927:K927">SUM(C928:C932)</f>
        <v>7946</v>
      </c>
      <c r="D927" s="112">
        <f t="shared" si="244"/>
        <v>881</v>
      </c>
      <c r="E927" s="112">
        <f t="shared" si="244"/>
        <v>785</v>
      </c>
      <c r="F927" s="112">
        <f t="shared" si="244"/>
        <v>785</v>
      </c>
      <c r="G927" s="28">
        <f t="shared" si="244"/>
        <v>785</v>
      </c>
      <c r="H927" s="28">
        <f t="shared" si="241"/>
        <v>2355</v>
      </c>
      <c r="I927" s="112">
        <f t="shared" si="244"/>
        <v>785</v>
      </c>
      <c r="J927" s="112">
        <f t="shared" si="244"/>
        <v>785</v>
      </c>
      <c r="K927" s="112">
        <f t="shared" si="244"/>
        <v>785</v>
      </c>
      <c r="L927" s="348"/>
      <c r="M927" s="348"/>
      <c r="N927" s="304"/>
      <c r="O927" s="304"/>
    </row>
    <row r="928" spans="1:15" ht="15" customHeight="1">
      <c r="A928" s="314" t="s">
        <v>45</v>
      </c>
      <c r="B928" s="314"/>
      <c r="C928" s="112">
        <f>SUM(E928:G928)</f>
        <v>0</v>
      </c>
      <c r="D928" s="112">
        <v>0</v>
      </c>
      <c r="E928" s="112">
        <v>0</v>
      </c>
      <c r="F928" s="112">
        <v>0</v>
      </c>
      <c r="G928" s="28">
        <v>0</v>
      </c>
      <c r="H928" s="28">
        <f t="shared" si="241"/>
        <v>0</v>
      </c>
      <c r="I928" s="112">
        <v>0</v>
      </c>
      <c r="J928" s="112">
        <v>0</v>
      </c>
      <c r="K928" s="112">
        <v>0</v>
      </c>
      <c r="L928" s="348"/>
      <c r="M928" s="348"/>
      <c r="N928" s="304"/>
      <c r="O928" s="304"/>
    </row>
    <row r="929" spans="1:15" ht="15" customHeight="1">
      <c r="A929" s="314" t="s">
        <v>46</v>
      </c>
      <c r="B929" s="314"/>
      <c r="C929" s="112">
        <f>SUM(D929:K929)</f>
        <v>7946</v>
      </c>
      <c r="D929" s="112">
        <v>881</v>
      </c>
      <c r="E929" s="112">
        <v>785</v>
      </c>
      <c r="F929" s="112">
        <v>785</v>
      </c>
      <c r="G929" s="28">
        <v>785</v>
      </c>
      <c r="H929" s="28">
        <f t="shared" si="241"/>
        <v>2355</v>
      </c>
      <c r="I929" s="28">
        <v>785</v>
      </c>
      <c r="J929" s="28">
        <v>785</v>
      </c>
      <c r="K929" s="112">
        <v>785</v>
      </c>
      <c r="L929" s="348"/>
      <c r="M929" s="348"/>
      <c r="N929" s="304"/>
      <c r="O929" s="304"/>
    </row>
    <row r="930" spans="1:15" ht="15" customHeight="1">
      <c r="A930" s="314" t="s">
        <v>47</v>
      </c>
      <c r="B930" s="314"/>
      <c r="C930" s="112">
        <f>SUM(E930:G930)</f>
        <v>0</v>
      </c>
      <c r="D930" s="112">
        <v>0</v>
      </c>
      <c r="E930" s="112">
        <v>0</v>
      </c>
      <c r="F930" s="112">
        <v>0</v>
      </c>
      <c r="G930" s="28">
        <v>0</v>
      </c>
      <c r="H930" s="28">
        <f t="shared" si="241"/>
        <v>0</v>
      </c>
      <c r="I930" s="112">
        <v>0</v>
      </c>
      <c r="J930" s="112">
        <v>0</v>
      </c>
      <c r="K930" s="112">
        <v>0</v>
      </c>
      <c r="L930" s="348"/>
      <c r="M930" s="348"/>
      <c r="N930" s="304"/>
      <c r="O930" s="304"/>
    </row>
    <row r="931" spans="1:15" ht="15" customHeight="1">
      <c r="A931" s="314" t="s">
        <v>48</v>
      </c>
      <c r="B931" s="314"/>
      <c r="C931" s="112">
        <f>SUM(E931:G931)</f>
        <v>0</v>
      </c>
      <c r="D931" s="112">
        <v>0</v>
      </c>
      <c r="E931" s="112">
        <v>0</v>
      </c>
      <c r="F931" s="112">
        <v>0</v>
      </c>
      <c r="G931" s="28">
        <v>0</v>
      </c>
      <c r="H931" s="28">
        <f t="shared" si="241"/>
        <v>0</v>
      </c>
      <c r="I931" s="112">
        <v>0</v>
      </c>
      <c r="J931" s="112">
        <v>0</v>
      </c>
      <c r="K931" s="112">
        <v>0</v>
      </c>
      <c r="L931" s="348"/>
      <c r="M931" s="348"/>
      <c r="N931" s="304"/>
      <c r="O931" s="304"/>
    </row>
    <row r="932" spans="1:15" ht="15" customHeight="1">
      <c r="A932" s="314" t="s">
        <v>49</v>
      </c>
      <c r="B932" s="314"/>
      <c r="C932" s="112">
        <f>SUM(E932:G932)</f>
        <v>0</v>
      </c>
      <c r="D932" s="112">
        <v>0</v>
      </c>
      <c r="E932" s="112">
        <v>0</v>
      </c>
      <c r="F932" s="112">
        <v>0</v>
      </c>
      <c r="G932" s="28">
        <v>0</v>
      </c>
      <c r="H932" s="28">
        <f t="shared" si="241"/>
        <v>0</v>
      </c>
      <c r="I932" s="112">
        <v>0</v>
      </c>
      <c r="J932" s="112">
        <v>0</v>
      </c>
      <c r="K932" s="112">
        <v>0</v>
      </c>
      <c r="L932" s="348"/>
      <c r="M932" s="348"/>
      <c r="N932" s="305"/>
      <c r="O932" s="305"/>
    </row>
    <row r="933" spans="1:15" ht="49.5" customHeight="1">
      <c r="A933" s="400" t="s">
        <v>394</v>
      </c>
      <c r="B933" s="401"/>
      <c r="C933" s="112"/>
      <c r="D933" s="112"/>
      <c r="E933" s="112"/>
      <c r="F933" s="112"/>
      <c r="G933" s="28"/>
      <c r="H933" s="28"/>
      <c r="I933" s="112"/>
      <c r="J933" s="112"/>
      <c r="K933" s="112"/>
      <c r="L933" s="17"/>
      <c r="M933" s="17"/>
      <c r="N933" s="201"/>
      <c r="O933" s="213" t="s">
        <v>395</v>
      </c>
    </row>
    <row r="934" spans="1:15" ht="23.25" customHeight="1">
      <c r="A934" s="398" t="s">
        <v>316</v>
      </c>
      <c r="B934" s="399"/>
      <c r="C934" s="182"/>
      <c r="D934" s="182"/>
      <c r="E934" s="182"/>
      <c r="F934" s="182"/>
      <c r="G934" s="182"/>
      <c r="H934" s="28"/>
      <c r="I934" s="182"/>
      <c r="J934" s="182"/>
      <c r="K934" s="182"/>
      <c r="L934" s="348"/>
      <c r="M934" s="348"/>
      <c r="N934" s="406">
        <v>2014</v>
      </c>
      <c r="O934" s="406">
        <v>2020</v>
      </c>
    </row>
    <row r="935" spans="1:15" ht="15" customHeight="1">
      <c r="A935" s="314" t="s">
        <v>52</v>
      </c>
      <c r="B935" s="314"/>
      <c r="C935" s="112">
        <f aca="true" t="shared" si="245" ref="C935:K935">SUM(C936:C940)</f>
        <v>2240</v>
      </c>
      <c r="D935" s="112">
        <f t="shared" si="245"/>
        <v>150</v>
      </c>
      <c r="E935" s="112">
        <f t="shared" si="245"/>
        <v>170</v>
      </c>
      <c r="F935" s="112">
        <f t="shared" si="245"/>
        <v>210</v>
      </c>
      <c r="G935" s="28">
        <f t="shared" si="245"/>
        <v>210</v>
      </c>
      <c r="H935" s="28">
        <f t="shared" si="241"/>
        <v>750</v>
      </c>
      <c r="I935" s="28">
        <f t="shared" si="245"/>
        <v>250</v>
      </c>
      <c r="J935" s="28">
        <f t="shared" si="245"/>
        <v>250</v>
      </c>
      <c r="K935" s="28">
        <f t="shared" si="245"/>
        <v>250</v>
      </c>
      <c r="L935" s="348"/>
      <c r="M935" s="348"/>
      <c r="N935" s="406"/>
      <c r="O935" s="406"/>
    </row>
    <row r="936" spans="1:15" ht="20.25" customHeight="1">
      <c r="A936" s="314" t="s">
        <v>45</v>
      </c>
      <c r="B936" s="314"/>
      <c r="C936" s="112">
        <f>SUM(E936:G936)</f>
        <v>0</v>
      </c>
      <c r="D936" s="112">
        <f aca="true" t="shared" si="246" ref="D936:K940">D943</f>
        <v>0</v>
      </c>
      <c r="E936" s="112">
        <f t="shared" si="246"/>
        <v>0</v>
      </c>
      <c r="F936" s="112">
        <f t="shared" si="246"/>
        <v>0</v>
      </c>
      <c r="G936" s="28">
        <f t="shared" si="246"/>
        <v>0</v>
      </c>
      <c r="H936" s="28">
        <f t="shared" si="241"/>
        <v>0</v>
      </c>
      <c r="I936" s="112">
        <f t="shared" si="246"/>
        <v>0</v>
      </c>
      <c r="J936" s="112">
        <f t="shared" si="246"/>
        <v>0</v>
      </c>
      <c r="K936" s="112">
        <f t="shared" si="246"/>
        <v>0</v>
      </c>
      <c r="L936" s="348"/>
      <c r="M936" s="348"/>
      <c r="N936" s="406"/>
      <c r="O936" s="406"/>
    </row>
    <row r="937" spans="1:15" ht="15.75" customHeight="1">
      <c r="A937" s="314" t="s">
        <v>46</v>
      </c>
      <c r="B937" s="314"/>
      <c r="C937" s="112">
        <f>SUM(D937:K937)</f>
        <v>2240</v>
      </c>
      <c r="D937" s="112">
        <f t="shared" si="246"/>
        <v>150</v>
      </c>
      <c r="E937" s="112">
        <f t="shared" si="246"/>
        <v>170</v>
      </c>
      <c r="F937" s="112">
        <f t="shared" si="246"/>
        <v>210</v>
      </c>
      <c r="G937" s="112">
        <f t="shared" si="246"/>
        <v>210</v>
      </c>
      <c r="H937" s="28">
        <f t="shared" si="241"/>
        <v>750</v>
      </c>
      <c r="I937" s="112">
        <f t="shared" si="246"/>
        <v>250</v>
      </c>
      <c r="J937" s="112">
        <f t="shared" si="246"/>
        <v>250</v>
      </c>
      <c r="K937" s="112">
        <f t="shared" si="246"/>
        <v>250</v>
      </c>
      <c r="L937" s="348"/>
      <c r="M937" s="348"/>
      <c r="N937" s="406"/>
      <c r="O937" s="406"/>
    </row>
    <row r="938" spans="1:15" ht="15" customHeight="1">
      <c r="A938" s="314" t="s">
        <v>47</v>
      </c>
      <c r="B938" s="314"/>
      <c r="C938" s="112">
        <f>SUM(E938:G938)</f>
        <v>0</v>
      </c>
      <c r="D938" s="112">
        <f t="shared" si="246"/>
        <v>0</v>
      </c>
      <c r="E938" s="112">
        <f t="shared" si="246"/>
        <v>0</v>
      </c>
      <c r="F938" s="112">
        <f t="shared" si="246"/>
        <v>0</v>
      </c>
      <c r="G938" s="28">
        <f t="shared" si="246"/>
        <v>0</v>
      </c>
      <c r="H938" s="28">
        <f t="shared" si="241"/>
        <v>0</v>
      </c>
      <c r="I938" s="112">
        <f t="shared" si="246"/>
        <v>0</v>
      </c>
      <c r="J938" s="112">
        <f t="shared" si="246"/>
        <v>0</v>
      </c>
      <c r="K938" s="112">
        <f t="shared" si="246"/>
        <v>0</v>
      </c>
      <c r="L938" s="348"/>
      <c r="M938" s="348"/>
      <c r="N938" s="406"/>
      <c r="O938" s="406"/>
    </row>
    <row r="939" spans="1:15" ht="15" customHeight="1">
      <c r="A939" s="314" t="s">
        <v>48</v>
      </c>
      <c r="B939" s="314"/>
      <c r="C939" s="112">
        <f>SUM(E939:G939)</f>
        <v>0</v>
      </c>
      <c r="D939" s="112">
        <f t="shared" si="246"/>
        <v>0</v>
      </c>
      <c r="E939" s="112">
        <f t="shared" si="246"/>
        <v>0</v>
      </c>
      <c r="F939" s="112">
        <f t="shared" si="246"/>
        <v>0</v>
      </c>
      <c r="G939" s="28">
        <f t="shared" si="246"/>
        <v>0</v>
      </c>
      <c r="H939" s="28">
        <f t="shared" si="241"/>
        <v>0</v>
      </c>
      <c r="I939" s="112">
        <f t="shared" si="246"/>
        <v>0</v>
      </c>
      <c r="J939" s="112">
        <f t="shared" si="246"/>
        <v>0</v>
      </c>
      <c r="K939" s="112">
        <f t="shared" si="246"/>
        <v>0</v>
      </c>
      <c r="L939" s="348"/>
      <c r="M939" s="348"/>
      <c r="N939" s="406"/>
      <c r="O939" s="406"/>
    </row>
    <row r="940" spans="1:15" ht="15" customHeight="1">
      <c r="A940" s="314" t="s">
        <v>49</v>
      </c>
      <c r="B940" s="314"/>
      <c r="C940" s="112">
        <f>SUM(E940:G940)</f>
        <v>0</v>
      </c>
      <c r="D940" s="112">
        <f t="shared" si="246"/>
        <v>0</v>
      </c>
      <c r="E940" s="112">
        <f t="shared" si="246"/>
        <v>0</v>
      </c>
      <c r="F940" s="112">
        <f t="shared" si="246"/>
        <v>0</v>
      </c>
      <c r="G940" s="28">
        <f t="shared" si="246"/>
        <v>0</v>
      </c>
      <c r="H940" s="28">
        <f t="shared" si="241"/>
        <v>0</v>
      </c>
      <c r="I940" s="112">
        <f t="shared" si="246"/>
        <v>0</v>
      </c>
      <c r="J940" s="112">
        <f t="shared" si="246"/>
        <v>0</v>
      </c>
      <c r="K940" s="112">
        <f t="shared" si="246"/>
        <v>0</v>
      </c>
      <c r="L940" s="348"/>
      <c r="M940" s="348"/>
      <c r="N940" s="406"/>
      <c r="O940" s="406"/>
    </row>
    <row r="941" spans="1:15" ht="21" customHeight="1">
      <c r="A941" s="334" t="s">
        <v>317</v>
      </c>
      <c r="B941" s="335"/>
      <c r="C941" s="178"/>
      <c r="D941" s="178"/>
      <c r="E941" s="178"/>
      <c r="F941" s="178"/>
      <c r="G941" s="178"/>
      <c r="H941" s="28"/>
      <c r="I941" s="178"/>
      <c r="J941" s="178"/>
      <c r="K941" s="179"/>
      <c r="L941" s="348" t="s">
        <v>265</v>
      </c>
      <c r="M941" s="348"/>
      <c r="N941" s="303" t="s">
        <v>267</v>
      </c>
      <c r="O941" s="303" t="s">
        <v>267</v>
      </c>
    </row>
    <row r="942" spans="1:15" ht="15" customHeight="1">
      <c r="A942" s="314" t="s">
        <v>52</v>
      </c>
      <c r="B942" s="314"/>
      <c r="C942" s="112">
        <f>C943+C944+C945+C946+C947</f>
        <v>2240</v>
      </c>
      <c r="D942" s="112">
        <f>D943+D944+D945+D946+D947</f>
        <v>150</v>
      </c>
      <c r="E942" s="112">
        <f>E943+E944+E945+E946+E947</f>
        <v>170</v>
      </c>
      <c r="F942" s="112">
        <f>F943+F944+F945+F946+F947</f>
        <v>210</v>
      </c>
      <c r="G942" s="28">
        <f>SUM(G943:G947)</f>
        <v>210</v>
      </c>
      <c r="H942" s="28">
        <f t="shared" si="241"/>
        <v>750</v>
      </c>
      <c r="I942" s="112">
        <f>SUM(I943:I947)</f>
        <v>250</v>
      </c>
      <c r="J942" s="112">
        <f>SUM(J943:J947)</f>
        <v>250</v>
      </c>
      <c r="K942" s="112">
        <f>SUM(K943:K947)</f>
        <v>250</v>
      </c>
      <c r="L942" s="348"/>
      <c r="M942" s="348"/>
      <c r="N942" s="304"/>
      <c r="O942" s="304"/>
    </row>
    <row r="943" spans="1:15" ht="15" customHeight="1">
      <c r="A943" s="314" t="s">
        <v>45</v>
      </c>
      <c r="B943" s="314"/>
      <c r="C943" s="112">
        <f>SUM(E943:G943)</f>
        <v>0</v>
      </c>
      <c r="D943" s="112">
        <v>0</v>
      </c>
      <c r="E943" s="112">
        <v>0</v>
      </c>
      <c r="F943" s="112">
        <v>0</v>
      </c>
      <c r="G943" s="28">
        <v>0</v>
      </c>
      <c r="H943" s="28">
        <f t="shared" si="241"/>
        <v>0</v>
      </c>
      <c r="I943" s="112">
        <v>0</v>
      </c>
      <c r="J943" s="112">
        <v>0</v>
      </c>
      <c r="K943" s="112">
        <v>0</v>
      </c>
      <c r="L943" s="348"/>
      <c r="M943" s="348"/>
      <c r="N943" s="304"/>
      <c r="O943" s="304"/>
    </row>
    <row r="944" spans="1:15" ht="15" customHeight="1">
      <c r="A944" s="314" t="s">
        <v>46</v>
      </c>
      <c r="B944" s="314"/>
      <c r="C944" s="112">
        <f>SUM(D944:K944)</f>
        <v>2240</v>
      </c>
      <c r="D944" s="112">
        <v>150</v>
      </c>
      <c r="E944" s="112">
        <v>170</v>
      </c>
      <c r="F944" s="112">
        <v>210</v>
      </c>
      <c r="G944" s="28">
        <v>210</v>
      </c>
      <c r="H944" s="28">
        <f t="shared" si="241"/>
        <v>750</v>
      </c>
      <c r="I944" s="112">
        <v>250</v>
      </c>
      <c r="J944" s="112">
        <v>250</v>
      </c>
      <c r="K944" s="112">
        <v>250</v>
      </c>
      <c r="L944" s="348"/>
      <c r="M944" s="348"/>
      <c r="N944" s="304"/>
      <c r="O944" s="304"/>
    </row>
    <row r="945" spans="1:15" ht="15" customHeight="1">
      <c r="A945" s="314" t="s">
        <v>47</v>
      </c>
      <c r="B945" s="314"/>
      <c r="C945" s="112">
        <f>SUM(E945:G945)</f>
        <v>0</v>
      </c>
      <c r="D945" s="112">
        <v>0</v>
      </c>
      <c r="E945" s="112">
        <v>0</v>
      </c>
      <c r="F945" s="112">
        <v>0</v>
      </c>
      <c r="G945" s="28">
        <v>0</v>
      </c>
      <c r="H945" s="28">
        <f t="shared" si="241"/>
        <v>0</v>
      </c>
      <c r="I945" s="112">
        <v>0</v>
      </c>
      <c r="J945" s="112">
        <v>0</v>
      </c>
      <c r="K945" s="112">
        <v>0</v>
      </c>
      <c r="L945" s="348"/>
      <c r="M945" s="348"/>
      <c r="N945" s="304"/>
      <c r="O945" s="304"/>
    </row>
    <row r="946" spans="1:15" ht="15" customHeight="1">
      <c r="A946" s="314" t="s">
        <v>48</v>
      </c>
      <c r="B946" s="314"/>
      <c r="C946" s="112">
        <f>SUM(E946:G946)</f>
        <v>0</v>
      </c>
      <c r="D946" s="112">
        <v>0</v>
      </c>
      <c r="E946" s="112">
        <v>0</v>
      </c>
      <c r="F946" s="112">
        <v>0</v>
      </c>
      <c r="G946" s="28">
        <v>0</v>
      </c>
      <c r="H946" s="28">
        <f t="shared" si="241"/>
        <v>0</v>
      </c>
      <c r="I946" s="112">
        <v>0</v>
      </c>
      <c r="J946" s="112">
        <v>0</v>
      </c>
      <c r="K946" s="112">
        <v>0</v>
      </c>
      <c r="L946" s="348"/>
      <c r="M946" s="348"/>
      <c r="N946" s="304"/>
      <c r="O946" s="304"/>
    </row>
    <row r="947" spans="1:15" ht="15" customHeight="1">
      <c r="A947" s="314" t="s">
        <v>49</v>
      </c>
      <c r="B947" s="314"/>
      <c r="C947" s="112">
        <f>SUM(E947:G947)</f>
        <v>0</v>
      </c>
      <c r="D947" s="112">
        <v>0</v>
      </c>
      <c r="E947" s="112">
        <v>0</v>
      </c>
      <c r="F947" s="112">
        <v>0</v>
      </c>
      <c r="G947" s="28">
        <v>0</v>
      </c>
      <c r="H947" s="28">
        <f t="shared" si="241"/>
        <v>0</v>
      </c>
      <c r="I947" s="112">
        <v>0</v>
      </c>
      <c r="J947" s="112">
        <v>0</v>
      </c>
      <c r="K947" s="112">
        <v>0</v>
      </c>
      <c r="L947" s="348"/>
      <c r="M947" s="348"/>
      <c r="N947" s="305"/>
      <c r="O947" s="305"/>
    </row>
    <row r="948" spans="1:15" ht="50.25" customHeight="1">
      <c r="A948" s="402" t="s">
        <v>396</v>
      </c>
      <c r="B948" s="403"/>
      <c r="C948" s="112"/>
      <c r="D948" s="112"/>
      <c r="E948" s="112"/>
      <c r="F948" s="112"/>
      <c r="G948" s="28"/>
      <c r="H948" s="28"/>
      <c r="I948" s="112"/>
      <c r="J948" s="112"/>
      <c r="K948" s="112"/>
      <c r="L948" s="18"/>
      <c r="M948" s="18"/>
      <c r="N948" s="101"/>
      <c r="O948" s="213" t="s">
        <v>397</v>
      </c>
    </row>
    <row r="949" spans="1:15" ht="39.75" customHeight="1">
      <c r="A949" s="398" t="s">
        <v>318</v>
      </c>
      <c r="B949" s="447"/>
      <c r="C949" s="178"/>
      <c r="D949" s="178"/>
      <c r="E949" s="178"/>
      <c r="F949" s="178"/>
      <c r="G949" s="178"/>
      <c r="H949" s="28"/>
      <c r="I949" s="178"/>
      <c r="J949" s="178"/>
      <c r="K949" s="179"/>
      <c r="L949" s="348" t="s">
        <v>265</v>
      </c>
      <c r="M949" s="348"/>
      <c r="N949" s="315" t="s">
        <v>374</v>
      </c>
      <c r="O949" s="315" t="s">
        <v>359</v>
      </c>
    </row>
    <row r="950" spans="1:15" ht="15" customHeight="1">
      <c r="A950" s="314" t="s">
        <v>52</v>
      </c>
      <c r="B950" s="314"/>
      <c r="C950" s="112">
        <f aca="true" t="shared" si="247" ref="C950:K950">SUM(C951:C955)</f>
        <v>300072.27326</v>
      </c>
      <c r="D950" s="112">
        <f t="shared" si="247"/>
        <v>18377.32653</v>
      </c>
      <c r="E950" s="112">
        <f t="shared" si="247"/>
        <v>20911.959909999998</v>
      </c>
      <c r="F950" s="112">
        <f t="shared" si="247"/>
        <v>24264.18</v>
      </c>
      <c r="G950" s="28">
        <f t="shared" si="247"/>
        <v>28790.190000000002</v>
      </c>
      <c r="H950" s="28">
        <f t="shared" si="241"/>
        <v>103864.30841</v>
      </c>
      <c r="I950" s="28">
        <f t="shared" si="247"/>
        <v>57596.857729999996</v>
      </c>
      <c r="J950" s="28">
        <f t="shared" si="247"/>
        <v>23089.754839999998</v>
      </c>
      <c r="K950" s="28">
        <f t="shared" si="247"/>
        <v>23177.69584</v>
      </c>
      <c r="L950" s="348"/>
      <c r="M950" s="348"/>
      <c r="N950" s="315"/>
      <c r="O950" s="315"/>
    </row>
    <row r="951" spans="1:15" ht="15" customHeight="1">
      <c r="A951" s="314" t="s">
        <v>45</v>
      </c>
      <c r="B951" s="314"/>
      <c r="C951" s="112">
        <f>SUM(E951:G951)</f>
        <v>0</v>
      </c>
      <c r="D951" s="112">
        <f aca="true" t="shared" si="248" ref="D951:K955">D958+D965</f>
        <v>0</v>
      </c>
      <c r="E951" s="112">
        <f t="shared" si="248"/>
        <v>0</v>
      </c>
      <c r="F951" s="112">
        <f t="shared" si="248"/>
        <v>0</v>
      </c>
      <c r="G951" s="28">
        <f t="shared" si="248"/>
        <v>0</v>
      </c>
      <c r="H951" s="28">
        <f t="shared" si="241"/>
        <v>0</v>
      </c>
      <c r="I951" s="112">
        <f>I958+I965+I972+I979+I986</f>
        <v>0</v>
      </c>
      <c r="J951" s="112">
        <f>J958+J965+J972+J979+J986</f>
        <v>0</v>
      </c>
      <c r="K951" s="112">
        <f>K958+K965+K972+K979+K986</f>
        <v>0</v>
      </c>
      <c r="L951" s="348"/>
      <c r="M951" s="348"/>
      <c r="N951" s="315"/>
      <c r="O951" s="315"/>
    </row>
    <row r="952" spans="1:15" ht="15" customHeight="1">
      <c r="A952" s="314" t="s">
        <v>46</v>
      </c>
      <c r="B952" s="314"/>
      <c r="C952" s="112">
        <f>SUM(D952:K952)</f>
        <v>300072.27326</v>
      </c>
      <c r="D952" s="112">
        <f t="shared" si="248"/>
        <v>18377.32653</v>
      </c>
      <c r="E952" s="112">
        <f t="shared" si="248"/>
        <v>20911.959909999998</v>
      </c>
      <c r="F952" s="112">
        <f t="shared" si="248"/>
        <v>24264.18</v>
      </c>
      <c r="G952" s="28">
        <f t="shared" si="248"/>
        <v>28790.190000000002</v>
      </c>
      <c r="H952" s="28">
        <f t="shared" si="241"/>
        <v>103864.30841</v>
      </c>
      <c r="I952" s="112">
        <f>I959+I966+I973+I980+I987+I994+I1001+I1008+I1015</f>
        <v>57596.857729999996</v>
      </c>
      <c r="J952" s="112">
        <f>J959+J966+J973+J980+J987+J994+J1001+J1008+J1015</f>
        <v>23089.754839999998</v>
      </c>
      <c r="K952" s="112">
        <f>K959+K966+K973+K980+K987+K994+K1001+K1008+K1015</f>
        <v>23177.69584</v>
      </c>
      <c r="L952" s="348"/>
      <c r="M952" s="348"/>
      <c r="N952" s="315"/>
      <c r="O952" s="315"/>
    </row>
    <row r="953" spans="1:15" ht="15" customHeight="1">
      <c r="A953" s="314" t="s">
        <v>47</v>
      </c>
      <c r="B953" s="314"/>
      <c r="C953" s="112">
        <f>SUM(E953:G953)</f>
        <v>0</v>
      </c>
      <c r="D953" s="112">
        <f t="shared" si="248"/>
        <v>0</v>
      </c>
      <c r="E953" s="112">
        <f t="shared" si="248"/>
        <v>0</v>
      </c>
      <c r="F953" s="112">
        <f t="shared" si="248"/>
        <v>0</v>
      </c>
      <c r="G953" s="28">
        <f t="shared" si="248"/>
        <v>0</v>
      </c>
      <c r="H953" s="28">
        <f t="shared" si="241"/>
        <v>0</v>
      </c>
      <c r="I953" s="112">
        <f t="shared" si="248"/>
        <v>0</v>
      </c>
      <c r="J953" s="112">
        <f t="shared" si="248"/>
        <v>0</v>
      </c>
      <c r="K953" s="112">
        <f t="shared" si="248"/>
        <v>0</v>
      </c>
      <c r="L953" s="348"/>
      <c r="M953" s="348"/>
      <c r="N953" s="315"/>
      <c r="O953" s="315"/>
    </row>
    <row r="954" spans="1:15" ht="15" customHeight="1">
      <c r="A954" s="314" t="s">
        <v>48</v>
      </c>
      <c r="B954" s="314"/>
      <c r="C954" s="112">
        <f>SUM(E954:G954)</f>
        <v>0</v>
      </c>
      <c r="D954" s="112">
        <f t="shared" si="248"/>
        <v>0</v>
      </c>
      <c r="E954" s="112">
        <f t="shared" si="248"/>
        <v>0</v>
      </c>
      <c r="F954" s="112">
        <f t="shared" si="248"/>
        <v>0</v>
      </c>
      <c r="G954" s="28">
        <f t="shared" si="248"/>
        <v>0</v>
      </c>
      <c r="H954" s="28">
        <f t="shared" si="241"/>
        <v>0</v>
      </c>
      <c r="I954" s="112">
        <f t="shared" si="248"/>
        <v>0</v>
      </c>
      <c r="J954" s="112">
        <f t="shared" si="248"/>
        <v>0</v>
      </c>
      <c r="K954" s="112">
        <f t="shared" si="248"/>
        <v>0</v>
      </c>
      <c r="L954" s="348"/>
      <c r="M954" s="348"/>
      <c r="N954" s="315"/>
      <c r="O954" s="315"/>
    </row>
    <row r="955" spans="1:15" ht="15" customHeight="1">
      <c r="A955" s="314" t="s">
        <v>49</v>
      </c>
      <c r="B955" s="314"/>
      <c r="C955" s="112">
        <f>SUM(E955:G955)</f>
        <v>0</v>
      </c>
      <c r="D955" s="112">
        <f t="shared" si="248"/>
        <v>0</v>
      </c>
      <c r="E955" s="112">
        <f t="shared" si="248"/>
        <v>0</v>
      </c>
      <c r="F955" s="112">
        <f t="shared" si="248"/>
        <v>0</v>
      </c>
      <c r="G955" s="28">
        <f t="shared" si="248"/>
        <v>0</v>
      </c>
      <c r="H955" s="28">
        <f t="shared" si="241"/>
        <v>0</v>
      </c>
      <c r="I955" s="112">
        <f t="shared" si="248"/>
        <v>0</v>
      </c>
      <c r="J955" s="112">
        <f t="shared" si="248"/>
        <v>0</v>
      </c>
      <c r="K955" s="112">
        <f t="shared" si="248"/>
        <v>0</v>
      </c>
      <c r="L955" s="348"/>
      <c r="M955" s="348"/>
      <c r="N955" s="315"/>
      <c r="O955" s="315"/>
    </row>
    <row r="956" spans="1:15" ht="40.5" customHeight="1">
      <c r="A956" s="334" t="s">
        <v>319</v>
      </c>
      <c r="B956" s="336"/>
      <c r="C956" s="180"/>
      <c r="D956" s="180"/>
      <c r="E956" s="180"/>
      <c r="F956" s="180"/>
      <c r="G956" s="180"/>
      <c r="H956" s="28"/>
      <c r="I956" s="180"/>
      <c r="J956" s="180"/>
      <c r="K956" s="180"/>
      <c r="L956" s="348" t="s">
        <v>265</v>
      </c>
      <c r="M956" s="348"/>
      <c r="N956" s="303" t="s">
        <v>315</v>
      </c>
      <c r="O956" s="303" t="s">
        <v>251</v>
      </c>
    </row>
    <row r="957" spans="1:15" ht="15" customHeight="1">
      <c r="A957" s="314" t="s">
        <v>52</v>
      </c>
      <c r="B957" s="314"/>
      <c r="C957" s="112">
        <f aca="true" t="shared" si="249" ref="C957:K957">SUM(C958:C962)</f>
        <v>57443.0738</v>
      </c>
      <c r="D957" s="112">
        <f t="shared" si="249"/>
        <v>9714.15196</v>
      </c>
      <c r="E957" s="112">
        <f t="shared" si="249"/>
        <v>11190.559</v>
      </c>
      <c r="F957" s="112">
        <f t="shared" si="249"/>
        <v>14791.68</v>
      </c>
      <c r="G957" s="28">
        <f t="shared" si="249"/>
        <v>14368.99</v>
      </c>
      <c r="H957" s="28">
        <f t="shared" si="241"/>
        <v>3688.84642</v>
      </c>
      <c r="I957" s="112">
        <f>SUM(I958:I962)</f>
        <v>3688.84642</v>
      </c>
      <c r="J957" s="112">
        <f t="shared" si="249"/>
        <v>0</v>
      </c>
      <c r="K957" s="112">
        <f t="shared" si="249"/>
        <v>0</v>
      </c>
      <c r="L957" s="348"/>
      <c r="M957" s="348"/>
      <c r="N957" s="304"/>
      <c r="O957" s="304"/>
    </row>
    <row r="958" spans="1:15" ht="15" customHeight="1">
      <c r="A958" s="314" t="s">
        <v>45</v>
      </c>
      <c r="B958" s="314"/>
      <c r="C958" s="112">
        <f>SUM(E958:G958)</f>
        <v>0</v>
      </c>
      <c r="D958" s="112">
        <v>0</v>
      </c>
      <c r="E958" s="112">
        <v>0</v>
      </c>
      <c r="F958" s="112">
        <v>0</v>
      </c>
      <c r="G958" s="28">
        <v>0</v>
      </c>
      <c r="H958" s="28">
        <f t="shared" si="241"/>
        <v>0</v>
      </c>
      <c r="I958" s="112">
        <v>0</v>
      </c>
      <c r="J958" s="112">
        <v>0</v>
      </c>
      <c r="K958" s="112">
        <v>0</v>
      </c>
      <c r="L958" s="348"/>
      <c r="M958" s="348"/>
      <c r="N958" s="304"/>
      <c r="O958" s="304"/>
    </row>
    <row r="959" spans="1:15" ht="15" customHeight="1">
      <c r="A959" s="314" t="s">
        <v>46</v>
      </c>
      <c r="B959" s="314"/>
      <c r="C959" s="112">
        <f>SUM(D959:K959)</f>
        <v>57443.0738</v>
      </c>
      <c r="D959" s="112">
        <v>9714.15196</v>
      </c>
      <c r="E959" s="112">
        <v>11190.559</v>
      </c>
      <c r="F959" s="112">
        <v>14791.68</v>
      </c>
      <c r="G959" s="28">
        <v>14368.99</v>
      </c>
      <c r="H959" s="28">
        <f t="shared" si="241"/>
        <v>3688.84642</v>
      </c>
      <c r="I959" s="112">
        <v>3688.84642</v>
      </c>
      <c r="J959" s="112">
        <v>0</v>
      </c>
      <c r="K959" s="112">
        <v>0</v>
      </c>
      <c r="L959" s="348"/>
      <c r="M959" s="348"/>
      <c r="N959" s="304"/>
      <c r="O959" s="304"/>
    </row>
    <row r="960" spans="1:15" ht="15" customHeight="1">
      <c r="A960" s="314" t="s">
        <v>47</v>
      </c>
      <c r="B960" s="314"/>
      <c r="C960" s="112">
        <f>SUM(E960:G960)</f>
        <v>0</v>
      </c>
      <c r="D960" s="112">
        <v>0</v>
      </c>
      <c r="E960" s="112">
        <v>0</v>
      </c>
      <c r="F960" s="112">
        <v>0</v>
      </c>
      <c r="G960" s="28">
        <v>0</v>
      </c>
      <c r="H960" s="28">
        <f t="shared" si="241"/>
        <v>0</v>
      </c>
      <c r="I960" s="112">
        <v>0</v>
      </c>
      <c r="J960" s="112">
        <v>0</v>
      </c>
      <c r="K960" s="112">
        <v>0</v>
      </c>
      <c r="L960" s="348"/>
      <c r="M960" s="348"/>
      <c r="N960" s="304"/>
      <c r="O960" s="304"/>
    </row>
    <row r="961" spans="1:15" ht="15" customHeight="1">
      <c r="A961" s="314" t="s">
        <v>48</v>
      </c>
      <c r="B961" s="314"/>
      <c r="C961" s="112">
        <f>SUM(E961:G961)</f>
        <v>0</v>
      </c>
      <c r="D961" s="112">
        <v>0</v>
      </c>
      <c r="E961" s="112">
        <v>0</v>
      </c>
      <c r="F961" s="112">
        <v>0</v>
      </c>
      <c r="G961" s="28">
        <v>0</v>
      </c>
      <c r="H961" s="28">
        <f t="shared" si="241"/>
        <v>0</v>
      </c>
      <c r="I961" s="112">
        <v>0</v>
      </c>
      <c r="J961" s="112">
        <v>0</v>
      </c>
      <c r="K961" s="112">
        <v>0</v>
      </c>
      <c r="L961" s="348"/>
      <c r="M961" s="348"/>
      <c r="N961" s="304"/>
      <c r="O961" s="304"/>
    </row>
    <row r="962" spans="1:15" ht="15" customHeight="1">
      <c r="A962" s="314" t="s">
        <v>49</v>
      </c>
      <c r="B962" s="314"/>
      <c r="C962" s="112">
        <f>SUM(E962:G962)</f>
        <v>0</v>
      </c>
      <c r="D962" s="112">
        <v>0</v>
      </c>
      <c r="E962" s="112">
        <v>0</v>
      </c>
      <c r="F962" s="112">
        <v>0</v>
      </c>
      <c r="G962" s="28">
        <v>0</v>
      </c>
      <c r="H962" s="28">
        <f t="shared" si="241"/>
        <v>0</v>
      </c>
      <c r="I962" s="112">
        <v>0</v>
      </c>
      <c r="J962" s="112">
        <v>0</v>
      </c>
      <c r="K962" s="112">
        <v>0</v>
      </c>
      <c r="L962" s="348"/>
      <c r="M962" s="348"/>
      <c r="N962" s="305"/>
      <c r="O962" s="305"/>
    </row>
    <row r="963" spans="1:15" ht="32.25" customHeight="1">
      <c r="A963" s="334" t="s">
        <v>320</v>
      </c>
      <c r="B963" s="336"/>
      <c r="C963" s="175"/>
      <c r="D963" s="175"/>
      <c r="E963" s="175"/>
      <c r="F963" s="175"/>
      <c r="G963" s="175"/>
      <c r="H963" s="28"/>
      <c r="I963" s="175"/>
      <c r="J963" s="175"/>
      <c r="K963" s="175"/>
      <c r="L963" s="348" t="s">
        <v>265</v>
      </c>
      <c r="M963" s="348"/>
      <c r="N963" s="315"/>
      <c r="O963" s="315"/>
    </row>
    <row r="964" spans="1:15" ht="15" customHeight="1">
      <c r="A964" s="314" t="s">
        <v>52</v>
      </c>
      <c r="B964" s="314"/>
      <c r="C964" s="112">
        <f aca="true" t="shared" si="250" ref="C964:K964">SUM(C965:C969)</f>
        <v>42278.27548</v>
      </c>
      <c r="D964" s="112">
        <f t="shared" si="250"/>
        <v>8663.17457</v>
      </c>
      <c r="E964" s="112">
        <f t="shared" si="250"/>
        <v>9721.40091</v>
      </c>
      <c r="F964" s="112">
        <f t="shared" si="250"/>
        <v>9472.5</v>
      </c>
      <c r="G964" s="28">
        <f t="shared" si="250"/>
        <v>14421.2</v>
      </c>
      <c r="H964" s="28">
        <f t="shared" si="241"/>
        <v>0</v>
      </c>
      <c r="I964" s="112">
        <f t="shared" si="250"/>
        <v>0</v>
      </c>
      <c r="J964" s="112">
        <f t="shared" si="250"/>
        <v>0</v>
      </c>
      <c r="K964" s="112">
        <f t="shared" si="250"/>
        <v>0</v>
      </c>
      <c r="L964" s="348"/>
      <c r="M964" s="348"/>
      <c r="N964" s="315"/>
      <c r="O964" s="315"/>
    </row>
    <row r="965" spans="1:15" ht="15" customHeight="1">
      <c r="A965" s="314" t="s">
        <v>45</v>
      </c>
      <c r="B965" s="314"/>
      <c r="C965" s="112">
        <f>SUM(E965:G965)</f>
        <v>0</v>
      </c>
      <c r="D965" s="112">
        <v>0</v>
      </c>
      <c r="E965" s="112">
        <v>0</v>
      </c>
      <c r="F965" s="112">
        <v>0</v>
      </c>
      <c r="G965" s="28">
        <v>0</v>
      </c>
      <c r="H965" s="28">
        <f t="shared" si="241"/>
        <v>0</v>
      </c>
      <c r="I965" s="112">
        <v>0</v>
      </c>
      <c r="J965" s="112">
        <v>0</v>
      </c>
      <c r="K965" s="112">
        <v>0</v>
      </c>
      <c r="L965" s="348"/>
      <c r="M965" s="348"/>
      <c r="N965" s="315"/>
      <c r="O965" s="315"/>
    </row>
    <row r="966" spans="1:15" ht="15" customHeight="1">
      <c r="A966" s="314" t="s">
        <v>46</v>
      </c>
      <c r="B966" s="314"/>
      <c r="C966" s="112">
        <f>SUM(D966:K966)</f>
        <v>42278.27548</v>
      </c>
      <c r="D966" s="112">
        <v>8663.17457</v>
      </c>
      <c r="E966" s="112">
        <v>9721.40091</v>
      </c>
      <c r="F966" s="112">
        <v>9472.5</v>
      </c>
      <c r="G966" s="28">
        <v>14421.2</v>
      </c>
      <c r="H966" s="28">
        <f t="shared" si="241"/>
        <v>0</v>
      </c>
      <c r="I966" s="112">
        <v>0</v>
      </c>
      <c r="J966" s="112">
        <v>0</v>
      </c>
      <c r="K966" s="112">
        <v>0</v>
      </c>
      <c r="L966" s="348"/>
      <c r="M966" s="348"/>
      <c r="N966" s="315"/>
      <c r="O966" s="315"/>
    </row>
    <row r="967" spans="1:15" ht="15" customHeight="1">
      <c r="A967" s="314" t="s">
        <v>47</v>
      </c>
      <c r="B967" s="314"/>
      <c r="C967" s="112">
        <f>SUM(E967:G967)</f>
        <v>0</v>
      </c>
      <c r="D967" s="112">
        <v>0</v>
      </c>
      <c r="E967" s="112">
        <v>0</v>
      </c>
      <c r="F967" s="112">
        <v>0</v>
      </c>
      <c r="G967" s="28">
        <v>0</v>
      </c>
      <c r="H967" s="28">
        <f t="shared" si="241"/>
        <v>0</v>
      </c>
      <c r="I967" s="112">
        <v>0</v>
      </c>
      <c r="J967" s="112">
        <v>0</v>
      </c>
      <c r="K967" s="112">
        <v>0</v>
      </c>
      <c r="L967" s="348"/>
      <c r="M967" s="348"/>
      <c r="N967" s="315"/>
      <c r="O967" s="315"/>
    </row>
    <row r="968" spans="1:15" ht="15" customHeight="1">
      <c r="A968" s="314" t="s">
        <v>48</v>
      </c>
      <c r="B968" s="314"/>
      <c r="C968" s="112">
        <f>SUM(E968:G968)</f>
        <v>0</v>
      </c>
      <c r="D968" s="112">
        <v>0</v>
      </c>
      <c r="E968" s="112">
        <v>0</v>
      </c>
      <c r="F968" s="112">
        <v>0</v>
      </c>
      <c r="G968" s="28">
        <v>0</v>
      </c>
      <c r="H968" s="28">
        <f t="shared" si="241"/>
        <v>0</v>
      </c>
      <c r="I968" s="112">
        <v>0</v>
      </c>
      <c r="J968" s="112">
        <v>0</v>
      </c>
      <c r="K968" s="112">
        <v>0</v>
      </c>
      <c r="L968" s="348"/>
      <c r="M968" s="348"/>
      <c r="N968" s="315"/>
      <c r="O968" s="315"/>
    </row>
    <row r="969" spans="1:15" ht="15" customHeight="1">
      <c r="A969" s="314" t="s">
        <v>49</v>
      </c>
      <c r="B969" s="314"/>
      <c r="C969" s="112">
        <f>SUM(E969:G969)</f>
        <v>0</v>
      </c>
      <c r="D969" s="112">
        <v>0</v>
      </c>
      <c r="E969" s="112">
        <v>0</v>
      </c>
      <c r="F969" s="112">
        <v>0</v>
      </c>
      <c r="G969" s="28">
        <v>0</v>
      </c>
      <c r="H969" s="28">
        <f t="shared" si="241"/>
        <v>0</v>
      </c>
      <c r="I969" s="112">
        <v>0</v>
      </c>
      <c r="J969" s="112">
        <v>0</v>
      </c>
      <c r="K969" s="112">
        <v>0</v>
      </c>
      <c r="L969" s="348"/>
      <c r="M969" s="348"/>
      <c r="N969" s="315"/>
      <c r="O969" s="315"/>
    </row>
    <row r="970" spans="1:15" ht="33.75" customHeight="1">
      <c r="A970" s="337" t="s">
        <v>321</v>
      </c>
      <c r="B970" s="338"/>
      <c r="C970" s="183"/>
      <c r="D970" s="183"/>
      <c r="E970" s="183"/>
      <c r="F970" s="183"/>
      <c r="G970" s="183"/>
      <c r="H970" s="28"/>
      <c r="I970" s="183"/>
      <c r="J970" s="183"/>
      <c r="K970" s="183"/>
      <c r="L970" s="348" t="s">
        <v>265</v>
      </c>
      <c r="M970" s="308"/>
      <c r="N970" s="303" t="s">
        <v>315</v>
      </c>
      <c r="O970" s="303" t="s">
        <v>251</v>
      </c>
    </row>
    <row r="971" spans="1:15" ht="15" customHeight="1">
      <c r="A971" s="314" t="s">
        <v>52</v>
      </c>
      <c r="B971" s="314"/>
      <c r="C971" s="112">
        <f aca="true" t="shared" si="251" ref="C971:K971">SUM(C972:C976)</f>
        <v>68360.23252</v>
      </c>
      <c r="D971" s="112">
        <f t="shared" si="251"/>
        <v>8663.17457</v>
      </c>
      <c r="E971" s="112">
        <f t="shared" si="251"/>
        <v>9721.40091</v>
      </c>
      <c r="F971" s="112">
        <f t="shared" si="251"/>
        <v>9472.5</v>
      </c>
      <c r="G971" s="28">
        <f t="shared" si="251"/>
        <v>14421.2</v>
      </c>
      <c r="H971" s="28">
        <f t="shared" si="241"/>
        <v>13040.97852</v>
      </c>
      <c r="I971" s="112">
        <f t="shared" si="251"/>
        <v>4346.99284</v>
      </c>
      <c r="J971" s="112">
        <f t="shared" si="251"/>
        <v>4346.99284</v>
      </c>
      <c r="K971" s="112">
        <f t="shared" si="251"/>
        <v>4346.99284</v>
      </c>
      <c r="L971" s="348"/>
      <c r="M971" s="309"/>
      <c r="N971" s="304"/>
      <c r="O971" s="304"/>
    </row>
    <row r="972" spans="1:15" ht="15" customHeight="1">
      <c r="A972" s="314" t="s">
        <v>45</v>
      </c>
      <c r="B972" s="314"/>
      <c r="C972" s="112">
        <f>SUM(E972:G972)</f>
        <v>0</v>
      </c>
      <c r="D972" s="112">
        <v>0</v>
      </c>
      <c r="E972" s="112">
        <v>0</v>
      </c>
      <c r="F972" s="112">
        <v>0</v>
      </c>
      <c r="G972" s="28">
        <v>0</v>
      </c>
      <c r="H972" s="28">
        <f t="shared" si="241"/>
        <v>0</v>
      </c>
      <c r="I972" s="112">
        <v>0</v>
      </c>
      <c r="J972" s="112">
        <v>0</v>
      </c>
      <c r="K972" s="112">
        <v>0</v>
      </c>
      <c r="L972" s="348"/>
      <c r="M972" s="309"/>
      <c r="N972" s="304"/>
      <c r="O972" s="304"/>
    </row>
    <row r="973" spans="1:15" ht="15" customHeight="1">
      <c r="A973" s="314" t="s">
        <v>46</v>
      </c>
      <c r="B973" s="314"/>
      <c r="C973" s="112">
        <f>SUM(D973:K973)</f>
        <v>68360.23252</v>
      </c>
      <c r="D973" s="112">
        <v>8663.17457</v>
      </c>
      <c r="E973" s="112">
        <v>9721.40091</v>
      </c>
      <c r="F973" s="112">
        <v>9472.5</v>
      </c>
      <c r="G973" s="28">
        <v>14421.2</v>
      </c>
      <c r="H973" s="28">
        <f t="shared" si="241"/>
        <v>13040.97852</v>
      </c>
      <c r="I973" s="129">
        <v>4346.99284</v>
      </c>
      <c r="J973" s="129">
        <v>4346.99284</v>
      </c>
      <c r="K973" s="129">
        <v>4346.99284</v>
      </c>
      <c r="L973" s="348"/>
      <c r="M973" s="309"/>
      <c r="N973" s="304"/>
      <c r="O973" s="304"/>
    </row>
    <row r="974" spans="1:15" ht="15" customHeight="1">
      <c r="A974" s="314" t="s">
        <v>47</v>
      </c>
      <c r="B974" s="314"/>
      <c r="C974" s="112">
        <f>SUM(E974:G974)</f>
        <v>0</v>
      </c>
      <c r="D974" s="112">
        <v>0</v>
      </c>
      <c r="E974" s="112">
        <v>0</v>
      </c>
      <c r="F974" s="112">
        <v>0</v>
      </c>
      <c r="G974" s="28">
        <v>0</v>
      </c>
      <c r="H974" s="28">
        <f t="shared" si="241"/>
        <v>0</v>
      </c>
      <c r="I974" s="112">
        <v>0</v>
      </c>
      <c r="J974" s="112">
        <v>0</v>
      </c>
      <c r="K974" s="112">
        <v>0</v>
      </c>
      <c r="L974" s="348"/>
      <c r="M974" s="309"/>
      <c r="N974" s="304"/>
      <c r="O974" s="304"/>
    </row>
    <row r="975" spans="1:15" ht="15" customHeight="1">
      <c r="A975" s="314" t="s">
        <v>48</v>
      </c>
      <c r="B975" s="314"/>
      <c r="C975" s="112">
        <f>SUM(E975:G975)</f>
        <v>0</v>
      </c>
      <c r="D975" s="112">
        <v>0</v>
      </c>
      <c r="E975" s="112">
        <v>0</v>
      </c>
      <c r="F975" s="112">
        <v>0</v>
      </c>
      <c r="G975" s="28">
        <v>0</v>
      </c>
      <c r="H975" s="28">
        <f aca="true" t="shared" si="252" ref="H975:H1066">I975+J975+K975</f>
        <v>0</v>
      </c>
      <c r="I975" s="112">
        <v>0</v>
      </c>
      <c r="J975" s="112">
        <v>0</v>
      </c>
      <c r="K975" s="112">
        <v>0</v>
      </c>
      <c r="L975" s="348"/>
      <c r="M975" s="309"/>
      <c r="N975" s="304"/>
      <c r="O975" s="304"/>
    </row>
    <row r="976" spans="1:15" ht="15" customHeight="1">
      <c r="A976" s="314" t="s">
        <v>49</v>
      </c>
      <c r="B976" s="314"/>
      <c r="C976" s="112">
        <f>SUM(E976:G976)</f>
        <v>0</v>
      </c>
      <c r="D976" s="112">
        <v>0</v>
      </c>
      <c r="E976" s="112">
        <v>0</v>
      </c>
      <c r="F976" s="112">
        <v>0</v>
      </c>
      <c r="G976" s="28">
        <v>0</v>
      </c>
      <c r="H976" s="28">
        <f t="shared" si="252"/>
        <v>0</v>
      </c>
      <c r="I976" s="112">
        <v>0</v>
      </c>
      <c r="J976" s="112">
        <v>0</v>
      </c>
      <c r="K976" s="112">
        <v>0</v>
      </c>
      <c r="L976" s="348"/>
      <c r="M976" s="310"/>
      <c r="N976" s="305"/>
      <c r="O976" s="305"/>
    </row>
    <row r="977" spans="1:15" ht="84" customHeight="1">
      <c r="A977" s="337" t="s">
        <v>355</v>
      </c>
      <c r="B977" s="338"/>
      <c r="C977" s="183"/>
      <c r="D977" s="183"/>
      <c r="E977" s="183"/>
      <c r="F977" s="183"/>
      <c r="G977" s="183"/>
      <c r="H977" s="28"/>
      <c r="I977" s="183"/>
      <c r="J977" s="183"/>
      <c r="K977" s="183"/>
      <c r="L977" s="308" t="s">
        <v>265</v>
      </c>
      <c r="M977" s="308"/>
      <c r="N977" s="303" t="s">
        <v>315</v>
      </c>
      <c r="O977" s="303" t="s">
        <v>251</v>
      </c>
    </row>
    <row r="978" spans="1:15" ht="15" customHeight="1">
      <c r="A978" s="314" t="s">
        <v>52</v>
      </c>
      <c r="B978" s="314"/>
      <c r="C978" s="112">
        <f>SUM(C979:C983)</f>
        <v>42278.27548</v>
      </c>
      <c r="D978" s="112">
        <f>SUM(D979:D983)</f>
        <v>8663.17457</v>
      </c>
      <c r="E978" s="112">
        <f>SUM(E979:E983)</f>
        <v>9721.40091</v>
      </c>
      <c r="F978" s="112">
        <f>SUM(F979:F983)</f>
        <v>9472.5</v>
      </c>
      <c r="G978" s="28">
        <f>SUM(G979:G983)</f>
        <v>14421.2</v>
      </c>
      <c r="H978" s="28">
        <f aca="true" t="shared" si="253" ref="H978:H983">I978+J978+K978</f>
        <v>0</v>
      </c>
      <c r="I978" s="112">
        <f>SUM(I979:I983)</f>
        <v>0</v>
      </c>
      <c r="J978" s="112">
        <f>SUM(J979:J983)</f>
        <v>0</v>
      </c>
      <c r="K978" s="112">
        <f>SUM(K979:K983)</f>
        <v>0</v>
      </c>
      <c r="L978" s="309"/>
      <c r="M978" s="309"/>
      <c r="N978" s="304"/>
      <c r="O978" s="304"/>
    </row>
    <row r="979" spans="1:15" ht="15" customHeight="1">
      <c r="A979" s="314" t="s">
        <v>45</v>
      </c>
      <c r="B979" s="314"/>
      <c r="C979" s="112">
        <f>SUM(E979:G979)</f>
        <v>0</v>
      </c>
      <c r="D979" s="112">
        <v>0</v>
      </c>
      <c r="E979" s="112">
        <v>0</v>
      </c>
      <c r="F979" s="112">
        <v>0</v>
      </c>
      <c r="G979" s="28">
        <v>0</v>
      </c>
      <c r="H979" s="28">
        <f t="shared" si="253"/>
        <v>0</v>
      </c>
      <c r="I979" s="112">
        <v>0</v>
      </c>
      <c r="J979" s="112">
        <v>0</v>
      </c>
      <c r="K979" s="112">
        <v>0</v>
      </c>
      <c r="L979" s="309"/>
      <c r="M979" s="309"/>
      <c r="N979" s="304"/>
      <c r="O979" s="304"/>
    </row>
    <row r="980" spans="1:15" ht="15" customHeight="1">
      <c r="A980" s="314" t="s">
        <v>46</v>
      </c>
      <c r="B980" s="314"/>
      <c r="C980" s="112">
        <f>SUM(D980:K980)</f>
        <v>42278.27548</v>
      </c>
      <c r="D980" s="112">
        <v>8663.17457</v>
      </c>
      <c r="E980" s="112">
        <v>9721.40091</v>
      </c>
      <c r="F980" s="112">
        <v>9472.5</v>
      </c>
      <c r="G980" s="28">
        <v>14421.2</v>
      </c>
      <c r="H980" s="28">
        <f t="shared" si="253"/>
        <v>0</v>
      </c>
      <c r="I980" s="129">
        <v>0</v>
      </c>
      <c r="J980" s="129">
        <v>0</v>
      </c>
      <c r="K980" s="129">
        <v>0</v>
      </c>
      <c r="L980" s="309"/>
      <c r="M980" s="309"/>
      <c r="N980" s="304"/>
      <c r="O980" s="304"/>
    </row>
    <row r="981" spans="1:15" ht="15" customHeight="1">
      <c r="A981" s="314" t="s">
        <v>47</v>
      </c>
      <c r="B981" s="314"/>
      <c r="C981" s="112">
        <f>SUM(E981:G981)</f>
        <v>0</v>
      </c>
      <c r="D981" s="112">
        <v>0</v>
      </c>
      <c r="E981" s="112">
        <v>0</v>
      </c>
      <c r="F981" s="112">
        <v>0</v>
      </c>
      <c r="G981" s="28">
        <v>0</v>
      </c>
      <c r="H981" s="28">
        <f t="shared" si="253"/>
        <v>0</v>
      </c>
      <c r="I981" s="112">
        <v>0</v>
      </c>
      <c r="J981" s="112">
        <v>0</v>
      </c>
      <c r="K981" s="112">
        <v>0</v>
      </c>
      <c r="L981" s="309"/>
      <c r="M981" s="309"/>
      <c r="N981" s="304"/>
      <c r="O981" s="304"/>
    </row>
    <row r="982" spans="1:15" ht="15" customHeight="1">
      <c r="A982" s="314" t="s">
        <v>48</v>
      </c>
      <c r="B982" s="314"/>
      <c r="C982" s="112">
        <f>SUM(E982:G982)</f>
        <v>0</v>
      </c>
      <c r="D982" s="112">
        <v>0</v>
      </c>
      <c r="E982" s="112">
        <v>0</v>
      </c>
      <c r="F982" s="112">
        <v>0</v>
      </c>
      <c r="G982" s="28">
        <v>0</v>
      </c>
      <c r="H982" s="28">
        <f t="shared" si="253"/>
        <v>0</v>
      </c>
      <c r="I982" s="112">
        <v>0</v>
      </c>
      <c r="J982" s="112">
        <v>0</v>
      </c>
      <c r="K982" s="112">
        <v>0</v>
      </c>
      <c r="L982" s="309"/>
      <c r="M982" s="309"/>
      <c r="N982" s="304"/>
      <c r="O982" s="304"/>
    </row>
    <row r="983" spans="1:15" ht="15" customHeight="1">
      <c r="A983" s="314" t="s">
        <v>49</v>
      </c>
      <c r="B983" s="314"/>
      <c r="C983" s="112">
        <f>SUM(E983:G983)</f>
        <v>0</v>
      </c>
      <c r="D983" s="112">
        <v>0</v>
      </c>
      <c r="E983" s="112">
        <v>0</v>
      </c>
      <c r="F983" s="112">
        <v>0</v>
      </c>
      <c r="G983" s="28">
        <v>0</v>
      </c>
      <c r="H983" s="28">
        <f t="shared" si="253"/>
        <v>0</v>
      </c>
      <c r="I983" s="112">
        <v>0</v>
      </c>
      <c r="J983" s="112">
        <v>0</v>
      </c>
      <c r="K983" s="112">
        <v>0</v>
      </c>
      <c r="L983" s="310"/>
      <c r="M983" s="310"/>
      <c r="N983" s="305"/>
      <c r="O983" s="305"/>
    </row>
    <row r="984" spans="1:15" ht="62.25" customHeight="1">
      <c r="A984" s="337" t="s">
        <v>356</v>
      </c>
      <c r="B984" s="338"/>
      <c r="C984" s="183"/>
      <c r="D984" s="183"/>
      <c r="E984" s="183"/>
      <c r="F984" s="183"/>
      <c r="G984" s="183"/>
      <c r="H984" s="28"/>
      <c r="I984" s="183"/>
      <c r="J984" s="183"/>
      <c r="K984" s="183"/>
      <c r="L984" s="308" t="s">
        <v>265</v>
      </c>
      <c r="M984" s="308"/>
      <c r="N984" s="303" t="s">
        <v>315</v>
      </c>
      <c r="O984" s="303" t="s">
        <v>251</v>
      </c>
    </row>
    <row r="985" spans="1:15" ht="15" customHeight="1">
      <c r="A985" s="314" t="s">
        <v>52</v>
      </c>
      <c r="B985" s="314"/>
      <c r="C985" s="112">
        <f>SUM(C986:C990)</f>
        <v>42278.27548</v>
      </c>
      <c r="D985" s="112">
        <f>SUM(D986:D990)</f>
        <v>8663.17457</v>
      </c>
      <c r="E985" s="112">
        <f>SUM(E986:E990)</f>
        <v>9721.40091</v>
      </c>
      <c r="F985" s="112">
        <f>SUM(F986:F990)</f>
        <v>9472.5</v>
      </c>
      <c r="G985" s="28">
        <f>SUM(G986:G990)</f>
        <v>14421.2</v>
      </c>
      <c r="H985" s="28">
        <f aca="true" t="shared" si="254" ref="H985:H990">I985+J985+K985</f>
        <v>0</v>
      </c>
      <c r="I985" s="112">
        <f>SUM(I986:I990)</f>
        <v>0</v>
      </c>
      <c r="J985" s="112">
        <f>SUM(J986:J990)</f>
        <v>0</v>
      </c>
      <c r="K985" s="112">
        <f>SUM(K986:K990)</f>
        <v>0</v>
      </c>
      <c r="L985" s="309"/>
      <c r="M985" s="309"/>
      <c r="N985" s="304"/>
      <c r="O985" s="304"/>
    </row>
    <row r="986" spans="1:15" ht="15" customHeight="1">
      <c r="A986" s="314" t="s">
        <v>45</v>
      </c>
      <c r="B986" s="314"/>
      <c r="C986" s="112">
        <f>SUM(E986:G986)</f>
        <v>0</v>
      </c>
      <c r="D986" s="112">
        <v>0</v>
      </c>
      <c r="E986" s="112">
        <v>0</v>
      </c>
      <c r="F986" s="112">
        <v>0</v>
      </c>
      <c r="G986" s="28">
        <v>0</v>
      </c>
      <c r="H986" s="28">
        <f t="shared" si="254"/>
        <v>0</v>
      </c>
      <c r="I986" s="112">
        <v>0</v>
      </c>
      <c r="J986" s="112">
        <v>0</v>
      </c>
      <c r="K986" s="112">
        <v>0</v>
      </c>
      <c r="L986" s="309"/>
      <c r="M986" s="309"/>
      <c r="N986" s="304"/>
      <c r="O986" s="304"/>
    </row>
    <row r="987" spans="1:15" ht="15" customHeight="1">
      <c r="A987" s="314" t="s">
        <v>46</v>
      </c>
      <c r="B987" s="314"/>
      <c r="C987" s="112">
        <f>SUM(D987:K987)</f>
        <v>42278.27548</v>
      </c>
      <c r="D987" s="112">
        <v>8663.17457</v>
      </c>
      <c r="E987" s="112">
        <v>9721.40091</v>
      </c>
      <c r="F987" s="112">
        <v>9472.5</v>
      </c>
      <c r="G987" s="28">
        <v>14421.2</v>
      </c>
      <c r="H987" s="28">
        <f t="shared" si="254"/>
        <v>0</v>
      </c>
      <c r="I987" s="129">
        <v>0</v>
      </c>
      <c r="J987" s="129">
        <v>0</v>
      </c>
      <c r="K987" s="129">
        <v>0</v>
      </c>
      <c r="L987" s="309"/>
      <c r="M987" s="309"/>
      <c r="N987" s="304"/>
      <c r="O987" s="304"/>
    </row>
    <row r="988" spans="1:15" ht="15" customHeight="1">
      <c r="A988" s="314" t="s">
        <v>47</v>
      </c>
      <c r="B988" s="314"/>
      <c r="C988" s="112">
        <f>SUM(E988:G988)</f>
        <v>0</v>
      </c>
      <c r="D988" s="112">
        <v>0</v>
      </c>
      <c r="E988" s="112">
        <v>0</v>
      </c>
      <c r="F988" s="112">
        <v>0</v>
      </c>
      <c r="G988" s="28">
        <v>0</v>
      </c>
      <c r="H988" s="28">
        <f t="shared" si="254"/>
        <v>0</v>
      </c>
      <c r="I988" s="112">
        <v>0</v>
      </c>
      <c r="J988" s="112">
        <v>0</v>
      </c>
      <c r="K988" s="112">
        <v>0</v>
      </c>
      <c r="L988" s="309"/>
      <c r="M988" s="309"/>
      <c r="N988" s="304"/>
      <c r="O988" s="304"/>
    </row>
    <row r="989" spans="1:15" ht="15" customHeight="1">
      <c r="A989" s="314" t="s">
        <v>48</v>
      </c>
      <c r="B989" s="314"/>
      <c r="C989" s="112">
        <f>SUM(E989:G989)</f>
        <v>0</v>
      </c>
      <c r="D989" s="112">
        <v>0</v>
      </c>
      <c r="E989" s="112">
        <v>0</v>
      </c>
      <c r="F989" s="112">
        <v>0</v>
      </c>
      <c r="G989" s="28">
        <v>0</v>
      </c>
      <c r="H989" s="28">
        <f t="shared" si="254"/>
        <v>0</v>
      </c>
      <c r="I989" s="112">
        <v>0</v>
      </c>
      <c r="J989" s="112">
        <v>0</v>
      </c>
      <c r="K989" s="112">
        <v>0</v>
      </c>
      <c r="L989" s="309"/>
      <c r="M989" s="309"/>
      <c r="N989" s="304"/>
      <c r="O989" s="304"/>
    </row>
    <row r="990" spans="1:15" ht="15" customHeight="1">
      <c r="A990" s="314" t="s">
        <v>49</v>
      </c>
      <c r="B990" s="314"/>
      <c r="C990" s="112">
        <f>SUM(E990:G990)</f>
        <v>0</v>
      </c>
      <c r="D990" s="112">
        <v>0</v>
      </c>
      <c r="E990" s="112">
        <v>0</v>
      </c>
      <c r="F990" s="112">
        <v>0</v>
      </c>
      <c r="G990" s="28">
        <v>0</v>
      </c>
      <c r="H990" s="28">
        <f t="shared" si="254"/>
        <v>0</v>
      </c>
      <c r="I990" s="112">
        <v>0</v>
      </c>
      <c r="J990" s="112">
        <v>0</v>
      </c>
      <c r="K990" s="112">
        <v>0</v>
      </c>
      <c r="L990" s="310"/>
      <c r="M990" s="310"/>
      <c r="N990" s="305"/>
      <c r="O990" s="305"/>
    </row>
    <row r="991" spans="1:15" ht="71.25" customHeight="1">
      <c r="A991" s="316" t="s">
        <v>382</v>
      </c>
      <c r="B991" s="317"/>
      <c r="C991" s="186"/>
      <c r="D991" s="186"/>
      <c r="E991" s="186"/>
      <c r="F991" s="186"/>
      <c r="G991" s="159"/>
      <c r="H991" s="28"/>
      <c r="I991" s="186"/>
      <c r="J991" s="186"/>
      <c r="K991" s="187"/>
      <c r="L991" s="308" t="s">
        <v>265</v>
      </c>
      <c r="M991" s="308"/>
      <c r="N991" s="303" t="s">
        <v>315</v>
      </c>
      <c r="O991" s="303" t="s">
        <v>251</v>
      </c>
    </row>
    <row r="992" spans="1:15" ht="15" customHeight="1">
      <c r="A992" s="314" t="s">
        <v>52</v>
      </c>
      <c r="B992" s="314"/>
      <c r="C992" s="186"/>
      <c r="D992" s="186"/>
      <c r="E992" s="186"/>
      <c r="F992" s="186"/>
      <c r="G992" s="159"/>
      <c r="H992" s="28">
        <f aca="true" t="shared" si="255" ref="H992:H997">I992+J992+K992</f>
        <v>0</v>
      </c>
      <c r="I992" s="112">
        <f>SUM(I993:I997)</f>
        <v>0</v>
      </c>
      <c r="J992" s="112">
        <f>SUM(J993:J997)</f>
        <v>0</v>
      </c>
      <c r="K992" s="112">
        <f>SUM(K993:K997)</f>
        <v>0</v>
      </c>
      <c r="L992" s="309"/>
      <c r="M992" s="309"/>
      <c r="N992" s="304"/>
      <c r="O992" s="304"/>
    </row>
    <row r="993" spans="1:15" ht="15" customHeight="1">
      <c r="A993" s="314" t="s">
        <v>45</v>
      </c>
      <c r="B993" s="314"/>
      <c r="C993" s="186"/>
      <c r="D993" s="186"/>
      <c r="E993" s="186"/>
      <c r="F993" s="186"/>
      <c r="G993" s="159"/>
      <c r="H993" s="28">
        <f t="shared" si="255"/>
        <v>0</v>
      </c>
      <c r="I993" s="112">
        <v>0</v>
      </c>
      <c r="J993" s="112">
        <v>0</v>
      </c>
      <c r="K993" s="112">
        <v>0</v>
      </c>
      <c r="L993" s="309"/>
      <c r="M993" s="309"/>
      <c r="N993" s="304"/>
      <c r="O993" s="304"/>
    </row>
    <row r="994" spans="1:15" ht="15" customHeight="1">
      <c r="A994" s="314" t="s">
        <v>46</v>
      </c>
      <c r="B994" s="314"/>
      <c r="C994" s="186"/>
      <c r="D994" s="186"/>
      <c r="E994" s="186"/>
      <c r="F994" s="186"/>
      <c r="G994" s="159"/>
      <c r="H994" s="28">
        <f t="shared" si="255"/>
        <v>0</v>
      </c>
      <c r="I994" s="129">
        <v>0</v>
      </c>
      <c r="J994" s="129">
        <v>0</v>
      </c>
      <c r="K994" s="129">
        <v>0</v>
      </c>
      <c r="L994" s="309"/>
      <c r="M994" s="309"/>
      <c r="N994" s="304"/>
      <c r="O994" s="304"/>
    </row>
    <row r="995" spans="1:15" ht="15" customHeight="1">
      <c r="A995" s="314" t="s">
        <v>47</v>
      </c>
      <c r="B995" s="314"/>
      <c r="C995" s="186"/>
      <c r="D995" s="186"/>
      <c r="E995" s="186"/>
      <c r="F995" s="186"/>
      <c r="G995" s="159"/>
      <c r="H995" s="28">
        <f t="shared" si="255"/>
        <v>0</v>
      </c>
      <c r="I995" s="112">
        <v>0</v>
      </c>
      <c r="J995" s="112">
        <v>0</v>
      </c>
      <c r="K995" s="112">
        <v>0</v>
      </c>
      <c r="L995" s="309"/>
      <c r="M995" s="309"/>
      <c r="N995" s="304"/>
      <c r="O995" s="304"/>
    </row>
    <row r="996" spans="1:15" ht="15" customHeight="1">
      <c r="A996" s="314" t="s">
        <v>48</v>
      </c>
      <c r="B996" s="314"/>
      <c r="C996" s="186"/>
      <c r="D996" s="186"/>
      <c r="E996" s="186"/>
      <c r="F996" s="186"/>
      <c r="G996" s="159"/>
      <c r="H996" s="28">
        <f t="shared" si="255"/>
        <v>0</v>
      </c>
      <c r="I996" s="112">
        <v>0</v>
      </c>
      <c r="J996" s="112">
        <v>0</v>
      </c>
      <c r="K996" s="112">
        <v>0</v>
      </c>
      <c r="L996" s="309"/>
      <c r="M996" s="309"/>
      <c r="N996" s="304"/>
      <c r="O996" s="304"/>
    </row>
    <row r="997" spans="1:15" ht="15" customHeight="1">
      <c r="A997" s="314" t="s">
        <v>49</v>
      </c>
      <c r="B997" s="314"/>
      <c r="C997" s="186"/>
      <c r="D997" s="186"/>
      <c r="E997" s="186"/>
      <c r="F997" s="186"/>
      <c r="G997" s="159"/>
      <c r="H997" s="28">
        <f t="shared" si="255"/>
        <v>0</v>
      </c>
      <c r="I997" s="112">
        <v>0</v>
      </c>
      <c r="J997" s="112">
        <v>0</v>
      </c>
      <c r="K997" s="112">
        <v>0</v>
      </c>
      <c r="L997" s="310"/>
      <c r="M997" s="310"/>
      <c r="N997" s="305"/>
      <c r="O997" s="305"/>
    </row>
    <row r="998" spans="1:15" ht="55.5" customHeight="1">
      <c r="A998" s="316" t="s">
        <v>383</v>
      </c>
      <c r="B998" s="317"/>
      <c r="C998" s="186"/>
      <c r="D998" s="186"/>
      <c r="E998" s="186"/>
      <c r="F998" s="186"/>
      <c r="G998" s="159"/>
      <c r="H998" s="28"/>
      <c r="I998" s="186"/>
      <c r="J998" s="186"/>
      <c r="K998" s="187"/>
      <c r="L998" s="308" t="s">
        <v>265</v>
      </c>
      <c r="M998" s="308"/>
      <c r="N998" s="303" t="s">
        <v>315</v>
      </c>
      <c r="O998" s="303" t="s">
        <v>251</v>
      </c>
    </row>
    <row r="999" spans="1:15" ht="15" customHeight="1">
      <c r="A999" s="314" t="s">
        <v>52</v>
      </c>
      <c r="B999" s="314"/>
      <c r="C999" s="186"/>
      <c r="D999" s="186"/>
      <c r="E999" s="186"/>
      <c r="F999" s="186"/>
      <c r="G999" s="159"/>
      <c r="H999" s="28">
        <f aca="true" t="shared" si="256" ref="H999:H1004">I999+J999+K999</f>
        <v>51084</v>
      </c>
      <c r="I999" s="112">
        <f>SUM(I1000:I1004)</f>
        <v>14834.606</v>
      </c>
      <c r="J999" s="112">
        <f>SUM(J1000:J1004)</f>
        <v>18083.891</v>
      </c>
      <c r="K999" s="112">
        <f>SUM(K1000:K1004)</f>
        <v>18165.503</v>
      </c>
      <c r="L999" s="309"/>
      <c r="M999" s="309"/>
      <c r="N999" s="304"/>
      <c r="O999" s="304"/>
    </row>
    <row r="1000" spans="1:15" ht="15" customHeight="1">
      <c r="A1000" s="314" t="s">
        <v>45</v>
      </c>
      <c r="B1000" s="314"/>
      <c r="C1000" s="186"/>
      <c r="D1000" s="186"/>
      <c r="E1000" s="186"/>
      <c r="F1000" s="186"/>
      <c r="G1000" s="159"/>
      <c r="H1000" s="28">
        <f t="shared" si="256"/>
        <v>0</v>
      </c>
      <c r="I1000" s="112">
        <v>0</v>
      </c>
      <c r="J1000" s="112">
        <v>0</v>
      </c>
      <c r="K1000" s="112">
        <v>0</v>
      </c>
      <c r="L1000" s="309"/>
      <c r="M1000" s="309"/>
      <c r="N1000" s="304"/>
      <c r="O1000" s="304"/>
    </row>
    <row r="1001" spans="1:15" ht="15" customHeight="1">
      <c r="A1001" s="314" t="s">
        <v>46</v>
      </c>
      <c r="B1001" s="314"/>
      <c r="C1001" s="186"/>
      <c r="D1001" s="186"/>
      <c r="E1001" s="186"/>
      <c r="F1001" s="186"/>
      <c r="G1001" s="159"/>
      <c r="H1001" s="28">
        <f t="shared" si="256"/>
        <v>51084</v>
      </c>
      <c r="I1001" s="129">
        <v>14834.606</v>
      </c>
      <c r="J1001" s="129">
        <v>18083.891</v>
      </c>
      <c r="K1001" s="129">
        <v>18165.503</v>
      </c>
      <c r="L1001" s="309"/>
      <c r="M1001" s="309"/>
      <c r="N1001" s="304"/>
      <c r="O1001" s="304"/>
    </row>
    <row r="1002" spans="1:15" ht="15" customHeight="1">
      <c r="A1002" s="314" t="s">
        <v>47</v>
      </c>
      <c r="B1002" s="314"/>
      <c r="C1002" s="186"/>
      <c r="D1002" s="186"/>
      <c r="E1002" s="186"/>
      <c r="F1002" s="186"/>
      <c r="G1002" s="159"/>
      <c r="H1002" s="28">
        <f t="shared" si="256"/>
        <v>0</v>
      </c>
      <c r="I1002" s="112">
        <v>0</v>
      </c>
      <c r="J1002" s="112">
        <v>0</v>
      </c>
      <c r="K1002" s="112">
        <v>0</v>
      </c>
      <c r="L1002" s="309"/>
      <c r="M1002" s="309"/>
      <c r="N1002" s="304"/>
      <c r="O1002" s="304"/>
    </row>
    <row r="1003" spans="1:15" ht="15" customHeight="1">
      <c r="A1003" s="314" t="s">
        <v>48</v>
      </c>
      <c r="B1003" s="314"/>
      <c r="C1003" s="186"/>
      <c r="D1003" s="186"/>
      <c r="E1003" s="186"/>
      <c r="F1003" s="186"/>
      <c r="G1003" s="159"/>
      <c r="H1003" s="28">
        <f t="shared" si="256"/>
        <v>0</v>
      </c>
      <c r="I1003" s="112">
        <v>0</v>
      </c>
      <c r="J1003" s="112">
        <v>0</v>
      </c>
      <c r="K1003" s="112">
        <v>0</v>
      </c>
      <c r="L1003" s="309"/>
      <c r="M1003" s="309"/>
      <c r="N1003" s="304"/>
      <c r="O1003" s="304"/>
    </row>
    <row r="1004" spans="1:15" ht="15" customHeight="1">
      <c r="A1004" s="314" t="s">
        <v>49</v>
      </c>
      <c r="B1004" s="314"/>
      <c r="C1004" s="186"/>
      <c r="D1004" s="186"/>
      <c r="E1004" s="186"/>
      <c r="F1004" s="186"/>
      <c r="G1004" s="159"/>
      <c r="H1004" s="28">
        <f t="shared" si="256"/>
        <v>0</v>
      </c>
      <c r="I1004" s="112">
        <v>0</v>
      </c>
      <c r="J1004" s="112">
        <v>0</v>
      </c>
      <c r="K1004" s="112">
        <v>0</v>
      </c>
      <c r="L1004" s="310"/>
      <c r="M1004" s="310"/>
      <c r="N1004" s="305"/>
      <c r="O1004" s="305"/>
    </row>
    <row r="1005" spans="1:15" ht="93.75" customHeight="1">
      <c r="A1005" s="316" t="s">
        <v>384</v>
      </c>
      <c r="B1005" s="317"/>
      <c r="C1005" s="186"/>
      <c r="D1005" s="186"/>
      <c r="E1005" s="186"/>
      <c r="F1005" s="186"/>
      <c r="G1005" s="159"/>
      <c r="H1005" s="28"/>
      <c r="I1005" s="186"/>
      <c r="J1005" s="186"/>
      <c r="K1005" s="187"/>
      <c r="L1005" s="308" t="s">
        <v>265</v>
      </c>
      <c r="M1005" s="308"/>
      <c r="N1005" s="303" t="s">
        <v>315</v>
      </c>
      <c r="O1005" s="303" t="s">
        <v>251</v>
      </c>
    </row>
    <row r="1006" spans="1:15" ht="15" customHeight="1">
      <c r="A1006" s="314" t="s">
        <v>52</v>
      </c>
      <c r="B1006" s="314"/>
      <c r="C1006" s="186"/>
      <c r="D1006" s="186"/>
      <c r="E1006" s="186"/>
      <c r="F1006" s="186"/>
      <c r="G1006" s="159"/>
      <c r="H1006" s="28">
        <f aca="true" t="shared" si="257" ref="H1006:H1011">I1006+J1006+K1006</f>
        <v>2032.28347</v>
      </c>
      <c r="I1006" s="112">
        <f>SUM(I1007:I1011)</f>
        <v>708.21247</v>
      </c>
      <c r="J1006" s="112">
        <f>SUM(J1007:J1011)</f>
        <v>658.871</v>
      </c>
      <c r="K1006" s="112">
        <f>SUM(K1007:K1011)</f>
        <v>665.2</v>
      </c>
      <c r="L1006" s="309"/>
      <c r="M1006" s="309"/>
      <c r="N1006" s="304"/>
      <c r="O1006" s="304"/>
    </row>
    <row r="1007" spans="1:15" ht="15" customHeight="1">
      <c r="A1007" s="314" t="s">
        <v>45</v>
      </c>
      <c r="B1007" s="314"/>
      <c r="C1007" s="186"/>
      <c r="D1007" s="186"/>
      <c r="E1007" s="186"/>
      <c r="F1007" s="186"/>
      <c r="G1007" s="159"/>
      <c r="H1007" s="28">
        <f t="shared" si="257"/>
        <v>0</v>
      </c>
      <c r="I1007" s="112">
        <v>0</v>
      </c>
      <c r="J1007" s="112">
        <v>0</v>
      </c>
      <c r="K1007" s="112">
        <v>0</v>
      </c>
      <c r="L1007" s="309"/>
      <c r="M1007" s="309"/>
      <c r="N1007" s="304"/>
      <c r="O1007" s="304"/>
    </row>
    <row r="1008" spans="1:15" ht="15" customHeight="1">
      <c r="A1008" s="314" t="s">
        <v>46</v>
      </c>
      <c r="B1008" s="314"/>
      <c r="C1008" s="186"/>
      <c r="D1008" s="186"/>
      <c r="E1008" s="186"/>
      <c r="F1008" s="186"/>
      <c r="G1008" s="159"/>
      <c r="H1008" s="28">
        <f t="shared" si="257"/>
        <v>2032.28347</v>
      </c>
      <c r="I1008" s="129">
        <v>708.21247</v>
      </c>
      <c r="J1008" s="129">
        <v>658.871</v>
      </c>
      <c r="K1008" s="129">
        <v>665.2</v>
      </c>
      <c r="L1008" s="309"/>
      <c r="M1008" s="309"/>
      <c r="N1008" s="304"/>
      <c r="O1008" s="304"/>
    </row>
    <row r="1009" spans="1:15" ht="15" customHeight="1">
      <c r="A1009" s="314" t="s">
        <v>47</v>
      </c>
      <c r="B1009" s="314"/>
      <c r="C1009" s="186"/>
      <c r="D1009" s="186"/>
      <c r="E1009" s="186"/>
      <c r="F1009" s="186"/>
      <c r="G1009" s="159"/>
      <c r="H1009" s="28">
        <f t="shared" si="257"/>
        <v>0</v>
      </c>
      <c r="I1009" s="112">
        <v>0</v>
      </c>
      <c r="J1009" s="112">
        <v>0</v>
      </c>
      <c r="K1009" s="112">
        <v>0</v>
      </c>
      <c r="L1009" s="309"/>
      <c r="M1009" s="309"/>
      <c r="N1009" s="304"/>
      <c r="O1009" s="304"/>
    </row>
    <row r="1010" spans="1:15" ht="15" customHeight="1">
      <c r="A1010" s="314" t="s">
        <v>48</v>
      </c>
      <c r="B1010" s="314"/>
      <c r="C1010" s="186"/>
      <c r="D1010" s="186"/>
      <c r="E1010" s="186"/>
      <c r="F1010" s="186"/>
      <c r="G1010" s="159"/>
      <c r="H1010" s="28">
        <f t="shared" si="257"/>
        <v>0</v>
      </c>
      <c r="I1010" s="112">
        <v>0</v>
      </c>
      <c r="J1010" s="112">
        <v>0</v>
      </c>
      <c r="K1010" s="112">
        <v>0</v>
      </c>
      <c r="L1010" s="309"/>
      <c r="M1010" s="309"/>
      <c r="N1010" s="304"/>
      <c r="O1010" s="304"/>
    </row>
    <row r="1011" spans="1:15" ht="15" customHeight="1">
      <c r="A1011" s="314" t="s">
        <v>49</v>
      </c>
      <c r="B1011" s="314"/>
      <c r="C1011" s="186"/>
      <c r="D1011" s="186"/>
      <c r="E1011" s="186"/>
      <c r="F1011" s="186"/>
      <c r="G1011" s="159"/>
      <c r="H1011" s="28">
        <f t="shared" si="257"/>
        <v>0</v>
      </c>
      <c r="I1011" s="112">
        <v>0</v>
      </c>
      <c r="J1011" s="112">
        <v>0</v>
      </c>
      <c r="K1011" s="112">
        <v>0</v>
      </c>
      <c r="L1011" s="310"/>
      <c r="M1011" s="310"/>
      <c r="N1011" s="305"/>
      <c r="O1011" s="305"/>
    </row>
    <row r="1012" spans="1:15" ht="102" customHeight="1">
      <c r="A1012" s="316" t="s">
        <v>385</v>
      </c>
      <c r="B1012" s="317"/>
      <c r="C1012" s="186"/>
      <c r="D1012" s="186"/>
      <c r="E1012" s="186"/>
      <c r="F1012" s="186"/>
      <c r="G1012" s="159"/>
      <c r="H1012" s="28"/>
      <c r="I1012" s="186"/>
      <c r="J1012" s="186"/>
      <c r="K1012" s="187"/>
      <c r="L1012" s="308" t="s">
        <v>265</v>
      </c>
      <c r="M1012" s="308"/>
      <c r="N1012" s="303" t="s">
        <v>315</v>
      </c>
      <c r="O1012" s="303" t="s">
        <v>251</v>
      </c>
    </row>
    <row r="1013" spans="1:15" ht="15" customHeight="1">
      <c r="A1013" s="314" t="s">
        <v>52</v>
      </c>
      <c r="B1013" s="314"/>
      <c r="C1013" s="186"/>
      <c r="D1013" s="186"/>
      <c r="E1013" s="186"/>
      <c r="F1013" s="186"/>
      <c r="G1013" s="159"/>
      <c r="H1013" s="28">
        <f aca="true" t="shared" si="258" ref="H1013:H1018">I1013+J1013+K1013</f>
        <v>34018.2</v>
      </c>
      <c r="I1013" s="112">
        <f>SUM(I1014:I1018)</f>
        <v>34018.2</v>
      </c>
      <c r="J1013" s="112">
        <f>SUM(J1014:J1018)</f>
        <v>0</v>
      </c>
      <c r="K1013" s="112">
        <f>SUM(K1014:K1018)</f>
        <v>0</v>
      </c>
      <c r="L1013" s="309"/>
      <c r="M1013" s="309"/>
      <c r="N1013" s="304"/>
      <c r="O1013" s="304"/>
    </row>
    <row r="1014" spans="1:15" ht="15" customHeight="1">
      <c r="A1014" s="314" t="s">
        <v>45</v>
      </c>
      <c r="B1014" s="314"/>
      <c r="C1014" s="186"/>
      <c r="D1014" s="186"/>
      <c r="E1014" s="186"/>
      <c r="F1014" s="186"/>
      <c r="G1014" s="159"/>
      <c r="H1014" s="28">
        <f t="shared" si="258"/>
        <v>0</v>
      </c>
      <c r="I1014" s="112">
        <v>0</v>
      </c>
      <c r="J1014" s="112">
        <v>0</v>
      </c>
      <c r="K1014" s="112">
        <v>0</v>
      </c>
      <c r="L1014" s="309"/>
      <c r="M1014" s="309"/>
      <c r="N1014" s="304"/>
      <c r="O1014" s="304"/>
    </row>
    <row r="1015" spans="1:15" ht="15" customHeight="1">
      <c r="A1015" s="314" t="s">
        <v>46</v>
      </c>
      <c r="B1015" s="314"/>
      <c r="C1015" s="186"/>
      <c r="D1015" s="186"/>
      <c r="E1015" s="186"/>
      <c r="F1015" s="186"/>
      <c r="G1015" s="159"/>
      <c r="H1015" s="28">
        <f t="shared" si="258"/>
        <v>34018.2</v>
      </c>
      <c r="I1015" s="129">
        <v>34018.2</v>
      </c>
      <c r="J1015" s="129">
        <v>0</v>
      </c>
      <c r="K1015" s="129">
        <v>0</v>
      </c>
      <c r="L1015" s="309"/>
      <c r="M1015" s="309"/>
      <c r="N1015" s="304"/>
      <c r="O1015" s="304"/>
    </row>
    <row r="1016" spans="1:15" ht="15" customHeight="1">
      <c r="A1016" s="314" t="s">
        <v>47</v>
      </c>
      <c r="B1016" s="314"/>
      <c r="C1016" s="186"/>
      <c r="D1016" s="186"/>
      <c r="E1016" s="186"/>
      <c r="F1016" s="186"/>
      <c r="G1016" s="159"/>
      <c r="H1016" s="28">
        <f t="shared" si="258"/>
        <v>0</v>
      </c>
      <c r="I1016" s="112">
        <v>0</v>
      </c>
      <c r="J1016" s="112">
        <v>0</v>
      </c>
      <c r="K1016" s="112">
        <v>0</v>
      </c>
      <c r="L1016" s="309"/>
      <c r="M1016" s="309"/>
      <c r="N1016" s="304"/>
      <c r="O1016" s="304"/>
    </row>
    <row r="1017" spans="1:15" ht="15" customHeight="1">
      <c r="A1017" s="314" t="s">
        <v>48</v>
      </c>
      <c r="B1017" s="314"/>
      <c r="C1017" s="186"/>
      <c r="D1017" s="186"/>
      <c r="E1017" s="186"/>
      <c r="F1017" s="186"/>
      <c r="G1017" s="159"/>
      <c r="H1017" s="28">
        <f t="shared" si="258"/>
        <v>0</v>
      </c>
      <c r="I1017" s="112">
        <v>0</v>
      </c>
      <c r="J1017" s="112">
        <v>0</v>
      </c>
      <c r="K1017" s="112">
        <v>0</v>
      </c>
      <c r="L1017" s="309"/>
      <c r="M1017" s="309"/>
      <c r="N1017" s="304"/>
      <c r="O1017" s="304"/>
    </row>
    <row r="1018" spans="1:15" ht="15" customHeight="1">
      <c r="A1018" s="314" t="s">
        <v>49</v>
      </c>
      <c r="B1018" s="314"/>
      <c r="C1018" s="186"/>
      <c r="D1018" s="186"/>
      <c r="E1018" s="186"/>
      <c r="F1018" s="186"/>
      <c r="G1018" s="159"/>
      <c r="H1018" s="28">
        <f t="shared" si="258"/>
        <v>0</v>
      </c>
      <c r="I1018" s="112">
        <v>0</v>
      </c>
      <c r="J1018" s="112">
        <v>0</v>
      </c>
      <c r="K1018" s="112">
        <v>0</v>
      </c>
      <c r="L1018" s="310"/>
      <c r="M1018" s="310"/>
      <c r="N1018" s="305"/>
      <c r="O1018" s="305"/>
    </row>
    <row r="1019" spans="1:15" ht="46.5" customHeight="1">
      <c r="A1019" s="400" t="s">
        <v>398</v>
      </c>
      <c r="B1019" s="449"/>
      <c r="C1019" s="186"/>
      <c r="D1019" s="186"/>
      <c r="E1019" s="186"/>
      <c r="F1019" s="186"/>
      <c r="G1019" s="159"/>
      <c r="H1019" s="28"/>
      <c r="I1019" s="186"/>
      <c r="J1019" s="186"/>
      <c r="K1019" s="187"/>
      <c r="L1019" s="17"/>
      <c r="M1019" s="136"/>
      <c r="N1019" s="200"/>
      <c r="O1019" s="219" t="s">
        <v>399</v>
      </c>
    </row>
    <row r="1020" spans="1:42" s="11" customFormat="1" ht="34.5" customHeight="1">
      <c r="A1020" s="398" t="s">
        <v>322</v>
      </c>
      <c r="B1020" s="335"/>
      <c r="C1020" s="184"/>
      <c r="D1020" s="184"/>
      <c r="E1020" s="184"/>
      <c r="F1020" s="184"/>
      <c r="G1020" s="184"/>
      <c r="H1020" s="28"/>
      <c r="I1020" s="184"/>
      <c r="J1020" s="184"/>
      <c r="K1020" s="185"/>
      <c r="L1020" s="348" t="s">
        <v>100</v>
      </c>
      <c r="M1020" s="348"/>
      <c r="N1020" s="315" t="s">
        <v>89</v>
      </c>
      <c r="O1020" s="315" t="s">
        <v>377</v>
      </c>
      <c r="P1020" s="146"/>
      <c r="Q1020" s="146"/>
      <c r="R1020" s="146"/>
      <c r="S1020" s="146"/>
      <c r="T1020" s="146"/>
      <c r="U1020" s="146"/>
      <c r="V1020" s="146"/>
      <c r="W1020" s="146"/>
      <c r="X1020" s="146"/>
      <c r="Y1020" s="146"/>
      <c r="Z1020" s="146"/>
      <c r="AA1020" s="146"/>
      <c r="AB1020" s="146"/>
      <c r="AC1020" s="146"/>
      <c r="AD1020" s="146"/>
      <c r="AE1020" s="146"/>
      <c r="AF1020" s="146"/>
      <c r="AG1020" s="146"/>
      <c r="AH1020" s="146"/>
      <c r="AI1020" s="146"/>
      <c r="AJ1020" s="146"/>
      <c r="AK1020" s="146"/>
      <c r="AL1020" s="146"/>
      <c r="AM1020" s="146"/>
      <c r="AN1020" s="146"/>
      <c r="AO1020" s="146"/>
      <c r="AP1020" s="146"/>
    </row>
    <row r="1021" spans="1:15" ht="15" customHeight="1">
      <c r="A1021" s="314" t="s">
        <v>52</v>
      </c>
      <c r="B1021" s="314"/>
      <c r="C1021" s="112">
        <f aca="true" t="shared" si="259" ref="C1021:K1021">SUM(C1022:C1026)</f>
        <v>400588.26300000004</v>
      </c>
      <c r="D1021" s="112">
        <f t="shared" si="259"/>
        <v>1500</v>
      </c>
      <c r="E1021" s="112">
        <f t="shared" si="259"/>
        <v>9263</v>
      </c>
      <c r="F1021" s="112">
        <f t="shared" si="259"/>
        <v>0</v>
      </c>
      <c r="G1021" s="28">
        <f t="shared" si="259"/>
        <v>182825.263</v>
      </c>
      <c r="H1021" s="28">
        <f t="shared" si="252"/>
        <v>103500</v>
      </c>
      <c r="I1021" s="28">
        <f t="shared" si="259"/>
        <v>103500</v>
      </c>
      <c r="J1021" s="28">
        <f t="shared" si="259"/>
        <v>0</v>
      </c>
      <c r="K1021" s="28">
        <f t="shared" si="259"/>
        <v>0</v>
      </c>
      <c r="L1021" s="348"/>
      <c r="M1021" s="348"/>
      <c r="N1021" s="315"/>
      <c r="O1021" s="315"/>
    </row>
    <row r="1022" spans="1:15" ht="15" customHeight="1">
      <c r="A1022" s="314" t="s">
        <v>45</v>
      </c>
      <c r="B1022" s="314"/>
      <c r="C1022" s="112">
        <f>SUM(E1022:G1022)</f>
        <v>0</v>
      </c>
      <c r="D1022" s="112">
        <f aca="true" t="shared" si="260" ref="D1022:K1026">D1029</f>
        <v>0</v>
      </c>
      <c r="E1022" s="112">
        <f t="shared" si="260"/>
        <v>0</v>
      </c>
      <c r="F1022" s="112">
        <f t="shared" si="260"/>
        <v>0</v>
      </c>
      <c r="G1022" s="28">
        <f t="shared" si="260"/>
        <v>0</v>
      </c>
      <c r="H1022" s="28">
        <f t="shared" si="252"/>
        <v>0</v>
      </c>
      <c r="I1022" s="112">
        <f t="shared" si="260"/>
        <v>0</v>
      </c>
      <c r="J1022" s="112">
        <f t="shared" si="260"/>
        <v>0</v>
      </c>
      <c r="K1022" s="112">
        <f t="shared" si="260"/>
        <v>0</v>
      </c>
      <c r="L1022" s="348"/>
      <c r="M1022" s="348"/>
      <c r="N1022" s="315"/>
      <c r="O1022" s="315"/>
    </row>
    <row r="1023" spans="1:15" ht="15" customHeight="1">
      <c r="A1023" s="314" t="s">
        <v>46</v>
      </c>
      <c r="B1023" s="314"/>
      <c r="C1023" s="112">
        <f>SUM(D1023:K1023)</f>
        <v>400588.26300000004</v>
      </c>
      <c r="D1023" s="112">
        <f>D1030</f>
        <v>1500</v>
      </c>
      <c r="E1023" s="112">
        <f t="shared" si="260"/>
        <v>9263</v>
      </c>
      <c r="F1023" s="112">
        <f t="shared" si="260"/>
        <v>0</v>
      </c>
      <c r="G1023" s="28">
        <f t="shared" si="260"/>
        <v>182825.263</v>
      </c>
      <c r="H1023" s="28">
        <f t="shared" si="252"/>
        <v>103500</v>
      </c>
      <c r="I1023" s="112">
        <f t="shared" si="260"/>
        <v>103500</v>
      </c>
      <c r="J1023" s="112">
        <f t="shared" si="260"/>
        <v>0</v>
      </c>
      <c r="K1023" s="112">
        <f t="shared" si="260"/>
        <v>0</v>
      </c>
      <c r="L1023" s="348"/>
      <c r="M1023" s="348"/>
      <c r="N1023" s="315"/>
      <c r="O1023" s="315"/>
    </row>
    <row r="1024" spans="1:15" ht="15" customHeight="1">
      <c r="A1024" s="314" t="s">
        <v>47</v>
      </c>
      <c r="B1024" s="314"/>
      <c r="C1024" s="112">
        <f>SUM(E1024:G1024)</f>
        <v>0</v>
      </c>
      <c r="D1024" s="112">
        <f t="shared" si="260"/>
        <v>0</v>
      </c>
      <c r="E1024" s="112">
        <f t="shared" si="260"/>
        <v>0</v>
      </c>
      <c r="F1024" s="112">
        <f t="shared" si="260"/>
        <v>0</v>
      </c>
      <c r="G1024" s="28">
        <f t="shared" si="260"/>
        <v>0</v>
      </c>
      <c r="H1024" s="28">
        <f t="shared" si="252"/>
        <v>0</v>
      </c>
      <c r="I1024" s="112">
        <f t="shared" si="260"/>
        <v>0</v>
      </c>
      <c r="J1024" s="112">
        <f t="shared" si="260"/>
        <v>0</v>
      </c>
      <c r="K1024" s="112">
        <f t="shared" si="260"/>
        <v>0</v>
      </c>
      <c r="L1024" s="348"/>
      <c r="M1024" s="348"/>
      <c r="N1024" s="315"/>
      <c r="O1024" s="315"/>
    </row>
    <row r="1025" spans="1:15" ht="15" customHeight="1">
      <c r="A1025" s="314" t="s">
        <v>48</v>
      </c>
      <c r="B1025" s="314"/>
      <c r="C1025" s="112">
        <f>SUM(E1025:G1025)</f>
        <v>0</v>
      </c>
      <c r="D1025" s="112">
        <f t="shared" si="260"/>
        <v>0</v>
      </c>
      <c r="E1025" s="112">
        <f t="shared" si="260"/>
        <v>0</v>
      </c>
      <c r="F1025" s="112">
        <f t="shared" si="260"/>
        <v>0</v>
      </c>
      <c r="G1025" s="28">
        <f t="shared" si="260"/>
        <v>0</v>
      </c>
      <c r="H1025" s="28">
        <f t="shared" si="252"/>
        <v>0</v>
      </c>
      <c r="I1025" s="112">
        <f t="shared" si="260"/>
        <v>0</v>
      </c>
      <c r="J1025" s="112">
        <f t="shared" si="260"/>
        <v>0</v>
      </c>
      <c r="K1025" s="112">
        <f t="shared" si="260"/>
        <v>0</v>
      </c>
      <c r="L1025" s="348"/>
      <c r="M1025" s="348"/>
      <c r="N1025" s="315"/>
      <c r="O1025" s="315"/>
    </row>
    <row r="1026" spans="1:15" ht="15" customHeight="1">
      <c r="A1026" s="314" t="s">
        <v>49</v>
      </c>
      <c r="B1026" s="314"/>
      <c r="C1026" s="112">
        <f>SUM(E1026:G1026)</f>
        <v>0</v>
      </c>
      <c r="D1026" s="112">
        <f t="shared" si="260"/>
        <v>0</v>
      </c>
      <c r="E1026" s="112">
        <f t="shared" si="260"/>
        <v>0</v>
      </c>
      <c r="F1026" s="112">
        <f t="shared" si="260"/>
        <v>0</v>
      </c>
      <c r="G1026" s="28">
        <f t="shared" si="260"/>
        <v>0</v>
      </c>
      <c r="H1026" s="28">
        <f t="shared" si="252"/>
        <v>0</v>
      </c>
      <c r="I1026" s="112">
        <f t="shared" si="260"/>
        <v>0</v>
      </c>
      <c r="J1026" s="112">
        <f t="shared" si="260"/>
        <v>0</v>
      </c>
      <c r="K1026" s="112">
        <f t="shared" si="260"/>
        <v>0</v>
      </c>
      <c r="L1026" s="348"/>
      <c r="M1026" s="348"/>
      <c r="N1026" s="315"/>
      <c r="O1026" s="315"/>
    </row>
    <row r="1027" spans="1:42" s="11" customFormat="1" ht="48" customHeight="1">
      <c r="A1027" s="334" t="s">
        <v>323</v>
      </c>
      <c r="B1027" s="335"/>
      <c r="C1027" s="184"/>
      <c r="D1027" s="184"/>
      <c r="E1027" s="184"/>
      <c r="F1027" s="184"/>
      <c r="G1027" s="184"/>
      <c r="H1027" s="28"/>
      <c r="I1027" s="184"/>
      <c r="J1027" s="184"/>
      <c r="K1027" s="185"/>
      <c r="L1027" s="348" t="s">
        <v>100</v>
      </c>
      <c r="M1027" s="448"/>
      <c r="N1027" s="303" t="s">
        <v>315</v>
      </c>
      <c r="O1027" s="303" t="s">
        <v>251</v>
      </c>
      <c r="P1027" s="146"/>
      <c r="Q1027" s="146"/>
      <c r="R1027" s="146"/>
      <c r="S1027" s="146"/>
      <c r="T1027" s="146"/>
      <c r="U1027" s="146"/>
      <c r="V1027" s="146"/>
      <c r="W1027" s="146"/>
      <c r="X1027" s="146"/>
      <c r="Y1027" s="146"/>
      <c r="Z1027" s="146"/>
      <c r="AA1027" s="146"/>
      <c r="AB1027" s="146"/>
      <c r="AC1027" s="146"/>
      <c r="AD1027" s="146"/>
      <c r="AE1027" s="146"/>
      <c r="AF1027" s="146"/>
      <c r="AG1027" s="146"/>
      <c r="AH1027" s="146"/>
      <c r="AI1027" s="146"/>
      <c r="AJ1027" s="146"/>
      <c r="AK1027" s="146"/>
      <c r="AL1027" s="146"/>
      <c r="AM1027" s="146"/>
      <c r="AN1027" s="146"/>
      <c r="AO1027" s="146"/>
      <c r="AP1027" s="146"/>
    </row>
    <row r="1028" spans="1:15" ht="15" customHeight="1">
      <c r="A1028" s="314" t="s">
        <v>52</v>
      </c>
      <c r="B1028" s="314"/>
      <c r="C1028" s="112">
        <f>SUM(C1030)</f>
        <v>400588.26300000004</v>
      </c>
      <c r="D1028" s="112">
        <f>SUM(D1030)</f>
        <v>1500</v>
      </c>
      <c r="E1028" s="112">
        <f>SUM(E1030)</f>
        <v>9263</v>
      </c>
      <c r="F1028" s="112">
        <f>SUM(F1030)</f>
        <v>0</v>
      </c>
      <c r="G1028" s="28">
        <f>SUM(G1029:G1033)</f>
        <v>182825.263</v>
      </c>
      <c r="H1028" s="28">
        <f t="shared" si="252"/>
        <v>103500</v>
      </c>
      <c r="I1028" s="112">
        <f>SUM(I1029:I1033)</f>
        <v>103500</v>
      </c>
      <c r="J1028" s="112">
        <f>SUM(J1029:J1033)</f>
        <v>0</v>
      </c>
      <c r="K1028" s="112">
        <f>SUM(K1029:K1033)</f>
        <v>0</v>
      </c>
      <c r="L1028" s="348"/>
      <c r="M1028" s="448"/>
      <c r="N1028" s="304"/>
      <c r="O1028" s="304"/>
    </row>
    <row r="1029" spans="1:15" ht="15" customHeight="1">
      <c r="A1029" s="314" t="s">
        <v>45</v>
      </c>
      <c r="B1029" s="314"/>
      <c r="C1029" s="112">
        <f>SUM(E1029:G1029)</f>
        <v>0</v>
      </c>
      <c r="D1029" s="112">
        <v>0</v>
      </c>
      <c r="E1029" s="112">
        <v>0</v>
      </c>
      <c r="F1029" s="112">
        <v>0</v>
      </c>
      <c r="G1029" s="28">
        <v>0</v>
      </c>
      <c r="H1029" s="28">
        <f t="shared" si="252"/>
        <v>0</v>
      </c>
      <c r="I1029" s="112">
        <v>0</v>
      </c>
      <c r="J1029" s="112">
        <v>0</v>
      </c>
      <c r="K1029" s="112">
        <v>0</v>
      </c>
      <c r="L1029" s="348"/>
      <c r="M1029" s="448"/>
      <c r="N1029" s="304"/>
      <c r="O1029" s="304"/>
    </row>
    <row r="1030" spans="1:15" ht="15" customHeight="1">
      <c r="A1030" s="314" t="s">
        <v>46</v>
      </c>
      <c r="B1030" s="314"/>
      <c r="C1030" s="112">
        <f>SUM(D1030:K1030)</f>
        <v>400588.26300000004</v>
      </c>
      <c r="D1030" s="112">
        <v>1500</v>
      </c>
      <c r="E1030" s="112">
        <v>9263</v>
      </c>
      <c r="F1030" s="112">
        <v>0</v>
      </c>
      <c r="G1030" s="28">
        <v>182825.263</v>
      </c>
      <c r="H1030" s="28">
        <f t="shared" si="252"/>
        <v>103500</v>
      </c>
      <c r="I1030" s="112">
        <v>103500</v>
      </c>
      <c r="J1030" s="112">
        <v>0</v>
      </c>
      <c r="K1030" s="112">
        <v>0</v>
      </c>
      <c r="L1030" s="348"/>
      <c r="M1030" s="448"/>
      <c r="N1030" s="304"/>
      <c r="O1030" s="304"/>
    </row>
    <row r="1031" spans="1:15" ht="15" customHeight="1">
      <c r="A1031" s="314" t="s">
        <v>47</v>
      </c>
      <c r="B1031" s="314"/>
      <c r="C1031" s="112">
        <f>SUM(E1031:G1031)</f>
        <v>0</v>
      </c>
      <c r="D1031" s="112">
        <v>0</v>
      </c>
      <c r="E1031" s="112">
        <v>0</v>
      </c>
      <c r="F1031" s="112">
        <v>0</v>
      </c>
      <c r="G1031" s="28">
        <v>0</v>
      </c>
      <c r="H1031" s="28">
        <f t="shared" si="252"/>
        <v>0</v>
      </c>
      <c r="I1031" s="112">
        <v>0</v>
      </c>
      <c r="J1031" s="112">
        <v>0</v>
      </c>
      <c r="K1031" s="112">
        <v>0</v>
      </c>
      <c r="L1031" s="348"/>
      <c r="M1031" s="448"/>
      <c r="N1031" s="304"/>
      <c r="O1031" s="304"/>
    </row>
    <row r="1032" spans="1:15" ht="15" customHeight="1">
      <c r="A1032" s="314" t="s">
        <v>48</v>
      </c>
      <c r="B1032" s="314"/>
      <c r="C1032" s="112">
        <f>SUM(E1032:G1032)</f>
        <v>0</v>
      </c>
      <c r="D1032" s="112">
        <v>0</v>
      </c>
      <c r="E1032" s="112">
        <v>0</v>
      </c>
      <c r="F1032" s="112">
        <v>0</v>
      </c>
      <c r="G1032" s="28">
        <v>0</v>
      </c>
      <c r="H1032" s="28">
        <f t="shared" si="252"/>
        <v>0</v>
      </c>
      <c r="I1032" s="112">
        <v>0</v>
      </c>
      <c r="J1032" s="112">
        <v>0</v>
      </c>
      <c r="K1032" s="112">
        <v>0</v>
      </c>
      <c r="L1032" s="348"/>
      <c r="M1032" s="448"/>
      <c r="N1032" s="304"/>
      <c r="O1032" s="304"/>
    </row>
    <row r="1033" spans="1:15" ht="15" customHeight="1">
      <c r="A1033" s="314" t="s">
        <v>49</v>
      </c>
      <c r="B1033" s="314"/>
      <c r="C1033" s="112">
        <f>SUM(E1033:G1033)</f>
        <v>0</v>
      </c>
      <c r="D1033" s="112">
        <v>0</v>
      </c>
      <c r="E1033" s="112">
        <v>0</v>
      </c>
      <c r="F1033" s="112">
        <v>0</v>
      </c>
      <c r="G1033" s="28">
        <v>0</v>
      </c>
      <c r="H1033" s="28">
        <f t="shared" si="252"/>
        <v>0</v>
      </c>
      <c r="I1033" s="112">
        <v>0</v>
      </c>
      <c r="J1033" s="112">
        <v>0</v>
      </c>
      <c r="K1033" s="112">
        <v>0</v>
      </c>
      <c r="L1033" s="348"/>
      <c r="M1033" s="448"/>
      <c r="N1033" s="305"/>
      <c r="O1033" s="305"/>
    </row>
    <row r="1034" spans="1:15" s="16" customFormat="1" ht="44.25" customHeight="1">
      <c r="A1034" s="469" t="s">
        <v>216</v>
      </c>
      <c r="B1034" s="470"/>
      <c r="C1034" s="197"/>
      <c r="D1034" s="197"/>
      <c r="E1034" s="197"/>
      <c r="F1034" s="197"/>
      <c r="G1034" s="197"/>
      <c r="H1034" s="198"/>
      <c r="I1034" s="198"/>
      <c r="J1034" s="198"/>
      <c r="K1034" s="198"/>
      <c r="L1034" s="451" t="s">
        <v>224</v>
      </c>
      <c r="M1034" s="448"/>
      <c r="N1034" s="453" t="s">
        <v>374</v>
      </c>
      <c r="O1034" s="453" t="s">
        <v>359</v>
      </c>
    </row>
    <row r="1035" spans="1:15" ht="15" customHeight="1">
      <c r="A1035" s="450" t="s">
        <v>52</v>
      </c>
      <c r="B1035" s="450"/>
      <c r="C1035" s="119">
        <f>C1036+C1037+C1079+C1080+C1081</f>
        <v>4007056.792320001</v>
      </c>
      <c r="D1035" s="119">
        <f>D1036+D1037+D1079+D1080+D1081</f>
        <v>466636.42</v>
      </c>
      <c r="E1035" s="119">
        <f aca="true" t="shared" si="261" ref="E1035:K1035">E1036+E1037+E1079+E1080+E1081</f>
        <v>415599.93843</v>
      </c>
      <c r="F1035" s="119">
        <f>F1036+F1037+F1079+F1080+F1081</f>
        <v>328431.27442000003</v>
      </c>
      <c r="G1035" s="119">
        <f>G1036+G1037+G1079+G1080+G1081</f>
        <v>485472.79709</v>
      </c>
      <c r="H1035" s="28">
        <f t="shared" si="252"/>
        <v>1155458.18119</v>
      </c>
      <c r="I1035" s="119">
        <f t="shared" si="261"/>
        <v>443874.47499</v>
      </c>
      <c r="J1035" s="119">
        <f t="shared" si="261"/>
        <v>356045.12009999994</v>
      </c>
      <c r="K1035" s="119">
        <f t="shared" si="261"/>
        <v>355538.58609999996</v>
      </c>
      <c r="L1035" s="451"/>
      <c r="M1035" s="448"/>
      <c r="N1035" s="453"/>
      <c r="O1035" s="453"/>
    </row>
    <row r="1036" spans="1:15" ht="15" customHeight="1">
      <c r="A1036" s="343" t="s">
        <v>45</v>
      </c>
      <c r="B1036" s="343"/>
      <c r="C1036" s="112">
        <f>SUM(D1036:K1036)</f>
        <v>62431.2</v>
      </c>
      <c r="D1036" s="120">
        <f>D1084+D1105+D1203+D1257+D1271+D1299+D1370+D1398</f>
        <v>52471.1</v>
      </c>
      <c r="E1036" s="120">
        <f>E1084+E1105+E1203+E1257+E1271+E1299+E1370+E1398</f>
        <v>0</v>
      </c>
      <c r="F1036" s="120">
        <f>F1084+F1105+F1203+F1257+F1271+F1299+F1370+F1398</f>
        <v>9960.1</v>
      </c>
      <c r="G1036" s="120">
        <f>G1084+G1105+G1203+G1257+G1271+G1299+G1370+G1398</f>
        <v>0</v>
      </c>
      <c r="H1036" s="28">
        <f t="shared" si="252"/>
        <v>0</v>
      </c>
      <c r="I1036" s="120">
        <f>I1084+I1105+I1203+I1257+I1271+I1299+I1370+I1398</f>
        <v>0</v>
      </c>
      <c r="J1036" s="120">
        <f>J1084+J1105+J1203+J1257+J1271+J1299+J1370+J1398</f>
        <v>0</v>
      </c>
      <c r="K1036" s="120">
        <f>K1084+K1105+K1203+K1257+K1271+K1299+K1370+K1398</f>
        <v>0</v>
      </c>
      <c r="L1036" s="451"/>
      <c r="M1036" s="448"/>
      <c r="N1036" s="453"/>
      <c r="O1036" s="453"/>
    </row>
    <row r="1037" spans="1:15" ht="15" customHeight="1">
      <c r="A1037" s="450" t="s">
        <v>46</v>
      </c>
      <c r="B1037" s="450"/>
      <c r="C1037" s="112">
        <f>SUM(D1037:K1037)</f>
        <v>3657219.0693200007</v>
      </c>
      <c r="D1037" s="119">
        <f aca="true" t="shared" si="262" ref="D1037:K1037">SUM(D1074:D1078)</f>
        <v>394531.5</v>
      </c>
      <c r="E1037" s="119">
        <f t="shared" si="262"/>
        <v>395001.03842999996</v>
      </c>
      <c r="F1037" s="119">
        <f t="shared" si="262"/>
        <v>297872.27442000003</v>
      </c>
      <c r="G1037" s="119">
        <f t="shared" si="262"/>
        <v>441698.71409</v>
      </c>
      <c r="H1037" s="28">
        <f t="shared" si="252"/>
        <v>1064057.77119</v>
      </c>
      <c r="I1037" s="119">
        <f t="shared" si="262"/>
        <v>413216.00499000004</v>
      </c>
      <c r="J1037" s="119">
        <f t="shared" si="262"/>
        <v>325386.65009999997</v>
      </c>
      <c r="K1037" s="119">
        <f t="shared" si="262"/>
        <v>325455.1161</v>
      </c>
      <c r="L1037" s="451"/>
      <c r="M1037" s="448"/>
      <c r="N1037" s="453"/>
      <c r="O1037" s="453"/>
    </row>
    <row r="1038" spans="1:15" ht="15" customHeight="1" hidden="1">
      <c r="A1038" s="343" t="s">
        <v>46</v>
      </c>
      <c r="B1038" s="343"/>
      <c r="C1038" s="111">
        <f aca="true" t="shared" si="263" ref="C1038:C1080">SUM(E1038:G1038)</f>
        <v>84</v>
      </c>
      <c r="D1038" s="120">
        <v>2026.7</v>
      </c>
      <c r="E1038" s="120">
        <v>28</v>
      </c>
      <c r="F1038" s="120">
        <v>28</v>
      </c>
      <c r="G1038" s="120">
        <v>28</v>
      </c>
      <c r="H1038" s="28">
        <f t="shared" si="252"/>
        <v>86.4</v>
      </c>
      <c r="I1038" s="120">
        <v>28</v>
      </c>
      <c r="J1038" s="120">
        <v>28</v>
      </c>
      <c r="K1038" s="120">
        <v>30.4</v>
      </c>
      <c r="L1038" s="451"/>
      <c r="M1038" s="448"/>
      <c r="N1038" s="453"/>
      <c r="O1038" s="453"/>
    </row>
    <row r="1039" spans="1:15" ht="15" customHeight="1" hidden="1">
      <c r="A1039" s="343" t="s">
        <v>46</v>
      </c>
      <c r="B1039" s="343"/>
      <c r="C1039" s="111">
        <f t="shared" si="263"/>
        <v>236421.90000000002</v>
      </c>
      <c r="D1039" s="120">
        <v>75054.6</v>
      </c>
      <c r="E1039" s="120">
        <v>78807.3</v>
      </c>
      <c r="F1039" s="120">
        <v>78807.3</v>
      </c>
      <c r="G1039" s="120">
        <v>78807.3</v>
      </c>
      <c r="H1039" s="28">
        <f t="shared" si="252"/>
        <v>243180.7</v>
      </c>
      <c r="I1039" s="120">
        <v>78807.3</v>
      </c>
      <c r="J1039" s="120">
        <v>78807.3</v>
      </c>
      <c r="K1039" s="120">
        <v>85566.1</v>
      </c>
      <c r="L1039" s="451"/>
      <c r="M1039" s="448"/>
      <c r="N1039" s="453"/>
      <c r="O1039" s="453"/>
    </row>
    <row r="1040" spans="1:15" ht="15" customHeight="1" hidden="1">
      <c r="A1040" s="343" t="s">
        <v>46</v>
      </c>
      <c r="B1040" s="343"/>
      <c r="C1040" s="111">
        <f t="shared" si="263"/>
        <v>1761</v>
      </c>
      <c r="D1040" s="120">
        <v>559</v>
      </c>
      <c r="E1040" s="120">
        <v>587</v>
      </c>
      <c r="F1040" s="120">
        <v>587</v>
      </c>
      <c r="G1040" s="120">
        <v>587</v>
      </c>
      <c r="H1040" s="28">
        <f t="shared" si="252"/>
        <v>1811.3</v>
      </c>
      <c r="I1040" s="120">
        <v>587</v>
      </c>
      <c r="J1040" s="120">
        <v>587</v>
      </c>
      <c r="K1040" s="120">
        <v>637.3</v>
      </c>
      <c r="L1040" s="451"/>
      <c r="M1040" s="448"/>
      <c r="N1040" s="453"/>
      <c r="O1040" s="453"/>
    </row>
    <row r="1041" spans="1:15" ht="30.75" customHeight="1" hidden="1">
      <c r="A1041" s="343" t="s">
        <v>46</v>
      </c>
      <c r="B1041" s="343"/>
      <c r="C1041" s="111">
        <f t="shared" si="263"/>
        <v>142261.78</v>
      </c>
      <c r="D1041" s="120">
        <v>57964.89</v>
      </c>
      <c r="E1041" s="120">
        <v>60208.92</v>
      </c>
      <c r="F1041" s="120">
        <v>41026.43</v>
      </c>
      <c r="G1041" s="120">
        <v>41026.43</v>
      </c>
      <c r="H1041" s="28">
        <f t="shared" si="252"/>
        <v>126597.86</v>
      </c>
      <c r="I1041" s="120">
        <v>41026.43</v>
      </c>
      <c r="J1041" s="120">
        <v>41026.43</v>
      </c>
      <c r="K1041" s="120">
        <v>44545</v>
      </c>
      <c r="L1041" s="451"/>
      <c r="M1041" s="448"/>
      <c r="N1041" s="453"/>
      <c r="O1041" s="453"/>
    </row>
    <row r="1042" spans="1:15" ht="15" customHeight="1" hidden="1">
      <c r="A1042" s="343" t="s">
        <v>46</v>
      </c>
      <c r="B1042" s="343"/>
      <c r="C1042" s="111">
        <f t="shared" si="263"/>
        <v>17259</v>
      </c>
      <c r="D1042" s="120">
        <v>5098</v>
      </c>
      <c r="E1042" s="120">
        <v>5753</v>
      </c>
      <c r="F1042" s="120">
        <v>5753</v>
      </c>
      <c r="G1042" s="120">
        <v>5753</v>
      </c>
      <c r="H1042" s="28">
        <f t="shared" si="252"/>
        <v>17752.4</v>
      </c>
      <c r="I1042" s="120">
        <v>5753</v>
      </c>
      <c r="J1042" s="120">
        <v>5753</v>
      </c>
      <c r="K1042" s="120">
        <v>6246.4</v>
      </c>
      <c r="L1042" s="451"/>
      <c r="M1042" s="448"/>
      <c r="N1042" s="453"/>
      <c r="O1042" s="453"/>
    </row>
    <row r="1043" spans="1:15" ht="15" customHeight="1" hidden="1">
      <c r="A1043" s="343" t="s">
        <v>46</v>
      </c>
      <c r="B1043" s="343"/>
      <c r="C1043" s="111">
        <f t="shared" si="263"/>
        <v>5447.1</v>
      </c>
      <c r="D1043" s="120">
        <v>1729.3999999999999</v>
      </c>
      <c r="E1043" s="120">
        <v>1815.7</v>
      </c>
      <c r="F1043" s="120">
        <v>1815.7</v>
      </c>
      <c r="G1043" s="120">
        <v>1815.7</v>
      </c>
      <c r="H1043" s="28">
        <f t="shared" si="252"/>
        <v>5602.8</v>
      </c>
      <c r="I1043" s="120">
        <v>1815.7</v>
      </c>
      <c r="J1043" s="120">
        <v>1815.7</v>
      </c>
      <c r="K1043" s="120">
        <v>1971.3999999999999</v>
      </c>
      <c r="L1043" s="451"/>
      <c r="M1043" s="448"/>
      <c r="N1043" s="453"/>
      <c r="O1043" s="453"/>
    </row>
    <row r="1044" spans="1:15" ht="15" customHeight="1" hidden="1">
      <c r="A1044" s="343" t="s">
        <v>46</v>
      </c>
      <c r="B1044" s="343"/>
      <c r="C1044" s="111">
        <f t="shared" si="263"/>
        <v>111797.55000000002</v>
      </c>
      <c r="D1044" s="120">
        <v>30376.88</v>
      </c>
      <c r="E1044" s="120">
        <v>37265.850000000006</v>
      </c>
      <c r="F1044" s="120">
        <v>37265.850000000006</v>
      </c>
      <c r="G1044" s="120">
        <v>37265.850000000006</v>
      </c>
      <c r="H1044" s="28">
        <f t="shared" si="252"/>
        <v>114993.6</v>
      </c>
      <c r="I1044" s="120">
        <v>37265.850000000006</v>
      </c>
      <c r="J1044" s="120">
        <v>37265.850000000006</v>
      </c>
      <c r="K1044" s="120">
        <v>40461.899999999994</v>
      </c>
      <c r="L1044" s="451"/>
      <c r="M1044" s="448"/>
      <c r="N1044" s="453"/>
      <c r="O1044" s="453"/>
    </row>
    <row r="1045" spans="1:15" ht="15" customHeight="1" hidden="1">
      <c r="A1045" s="343" t="s">
        <v>46</v>
      </c>
      <c r="B1045" s="343"/>
      <c r="C1045" s="111">
        <f t="shared" si="263"/>
        <v>0</v>
      </c>
      <c r="D1045" s="120">
        <v>453</v>
      </c>
      <c r="E1045" s="120">
        <v>0</v>
      </c>
      <c r="F1045" s="120">
        <v>0</v>
      </c>
      <c r="G1045" s="120">
        <v>0</v>
      </c>
      <c r="H1045" s="28">
        <f t="shared" si="252"/>
        <v>0</v>
      </c>
      <c r="I1045" s="120">
        <v>0</v>
      </c>
      <c r="J1045" s="120">
        <v>0</v>
      </c>
      <c r="K1045" s="120">
        <v>0</v>
      </c>
      <c r="L1045" s="451"/>
      <c r="M1045" s="448"/>
      <c r="N1045" s="453"/>
      <c r="O1045" s="453"/>
    </row>
    <row r="1046" spans="1:15" ht="15" customHeight="1" hidden="1">
      <c r="A1046" s="343" t="s">
        <v>46</v>
      </c>
      <c r="B1046" s="343"/>
      <c r="C1046" s="111">
        <f t="shared" si="263"/>
        <v>39854.7</v>
      </c>
      <c r="D1046" s="120">
        <v>11298.491</v>
      </c>
      <c r="E1046" s="120">
        <v>13284.9</v>
      </c>
      <c r="F1046" s="120">
        <v>13284.9</v>
      </c>
      <c r="G1046" s="120">
        <v>13284.9</v>
      </c>
      <c r="H1046" s="28">
        <f t="shared" si="252"/>
        <v>40994.1</v>
      </c>
      <c r="I1046" s="120">
        <v>13284.9</v>
      </c>
      <c r="J1046" s="120">
        <v>13284.9</v>
      </c>
      <c r="K1046" s="120">
        <v>14424.3</v>
      </c>
      <c r="L1046" s="451"/>
      <c r="M1046" s="448"/>
      <c r="N1046" s="453"/>
      <c r="O1046" s="453"/>
    </row>
    <row r="1047" spans="1:15" ht="15" customHeight="1" hidden="1">
      <c r="A1047" s="343" t="s">
        <v>46</v>
      </c>
      <c r="B1047" s="343"/>
      <c r="C1047" s="111">
        <f t="shared" si="263"/>
        <v>11096.19</v>
      </c>
      <c r="D1047" s="120">
        <v>3522.6</v>
      </c>
      <c r="E1047" s="120">
        <v>3698.73</v>
      </c>
      <c r="F1047" s="120">
        <v>3698.73</v>
      </c>
      <c r="G1047" s="120">
        <v>3698.73</v>
      </c>
      <c r="H1047" s="28">
        <f t="shared" si="252"/>
        <v>11413.36</v>
      </c>
      <c r="I1047" s="120">
        <v>3698.73</v>
      </c>
      <c r="J1047" s="120">
        <v>3698.73</v>
      </c>
      <c r="K1047" s="120">
        <v>4015.9</v>
      </c>
      <c r="L1047" s="451"/>
      <c r="M1047" s="448"/>
      <c r="N1047" s="453"/>
      <c r="O1047" s="453"/>
    </row>
    <row r="1048" spans="1:15" ht="15" customHeight="1" hidden="1">
      <c r="A1048" s="343" t="s">
        <v>46</v>
      </c>
      <c r="B1048" s="343"/>
      <c r="C1048" s="111">
        <f t="shared" si="263"/>
        <v>1761</v>
      </c>
      <c r="D1048" s="120">
        <v>559.14</v>
      </c>
      <c r="E1048" s="120">
        <v>587</v>
      </c>
      <c r="F1048" s="120">
        <v>587</v>
      </c>
      <c r="G1048" s="120">
        <v>587</v>
      </c>
      <c r="H1048" s="28">
        <f t="shared" si="252"/>
        <v>1811.3</v>
      </c>
      <c r="I1048" s="120">
        <v>587</v>
      </c>
      <c r="J1048" s="120">
        <v>587</v>
      </c>
      <c r="K1048" s="120">
        <v>637.3</v>
      </c>
      <c r="L1048" s="451"/>
      <c r="M1048" s="448"/>
      <c r="N1048" s="453"/>
      <c r="O1048" s="453"/>
    </row>
    <row r="1049" spans="1:15" ht="15" customHeight="1" hidden="1">
      <c r="A1049" s="343" t="s">
        <v>46</v>
      </c>
      <c r="B1049" s="343"/>
      <c r="C1049" s="111">
        <f t="shared" si="263"/>
        <v>22200</v>
      </c>
      <c r="D1049" s="120">
        <v>8700</v>
      </c>
      <c r="E1049" s="120">
        <v>7400</v>
      </c>
      <c r="F1049" s="120">
        <v>7400</v>
      </c>
      <c r="G1049" s="120">
        <v>7400</v>
      </c>
      <c r="H1049" s="28">
        <f t="shared" si="252"/>
        <v>22834.7</v>
      </c>
      <c r="I1049" s="120">
        <v>7400</v>
      </c>
      <c r="J1049" s="120">
        <v>7400</v>
      </c>
      <c r="K1049" s="120">
        <v>8034.7</v>
      </c>
      <c r="L1049" s="451"/>
      <c r="M1049" s="448"/>
      <c r="N1049" s="453"/>
      <c r="O1049" s="453"/>
    </row>
    <row r="1050" spans="1:15" ht="15" customHeight="1" hidden="1">
      <c r="A1050" s="343" t="s">
        <v>46</v>
      </c>
      <c r="B1050" s="343"/>
      <c r="C1050" s="111">
        <f t="shared" si="263"/>
        <v>534</v>
      </c>
      <c r="D1050" s="120">
        <v>170</v>
      </c>
      <c r="E1050" s="120">
        <v>178</v>
      </c>
      <c r="F1050" s="120">
        <v>178</v>
      </c>
      <c r="G1050" s="120">
        <v>178</v>
      </c>
      <c r="H1050" s="28">
        <f t="shared" si="252"/>
        <v>549.3</v>
      </c>
      <c r="I1050" s="120">
        <v>178</v>
      </c>
      <c r="J1050" s="120">
        <v>178</v>
      </c>
      <c r="K1050" s="120">
        <v>193.3</v>
      </c>
      <c r="L1050" s="451"/>
      <c r="M1050" s="448"/>
      <c r="N1050" s="453"/>
      <c r="O1050" s="453"/>
    </row>
    <row r="1051" spans="1:15" ht="15" customHeight="1" hidden="1">
      <c r="A1051" s="343" t="s">
        <v>46</v>
      </c>
      <c r="B1051" s="343"/>
      <c r="C1051" s="111">
        <f t="shared" si="263"/>
        <v>810</v>
      </c>
      <c r="D1051" s="120">
        <v>240</v>
      </c>
      <c r="E1051" s="120">
        <v>270</v>
      </c>
      <c r="F1051" s="120">
        <v>270</v>
      </c>
      <c r="G1051" s="120">
        <v>270</v>
      </c>
      <c r="H1051" s="28">
        <f t="shared" si="252"/>
        <v>833.2</v>
      </c>
      <c r="I1051" s="120">
        <v>270</v>
      </c>
      <c r="J1051" s="120">
        <v>270</v>
      </c>
      <c r="K1051" s="120">
        <v>293.2</v>
      </c>
      <c r="L1051" s="451"/>
      <c r="M1051" s="448"/>
      <c r="N1051" s="453"/>
      <c r="O1051" s="453"/>
    </row>
    <row r="1052" spans="1:15" ht="15" customHeight="1" hidden="1">
      <c r="A1052" s="343" t="s">
        <v>46</v>
      </c>
      <c r="B1052" s="343"/>
      <c r="C1052" s="111">
        <f t="shared" si="263"/>
        <v>0</v>
      </c>
      <c r="D1052" s="120">
        <v>30000</v>
      </c>
      <c r="E1052" s="120">
        <v>0</v>
      </c>
      <c r="F1052" s="120">
        <v>0</v>
      </c>
      <c r="G1052" s="120">
        <v>0</v>
      </c>
      <c r="H1052" s="28">
        <f t="shared" si="252"/>
        <v>0</v>
      </c>
      <c r="I1052" s="120">
        <v>0</v>
      </c>
      <c r="J1052" s="120">
        <v>0</v>
      </c>
      <c r="K1052" s="120">
        <v>0</v>
      </c>
      <c r="L1052" s="451"/>
      <c r="M1052" s="448"/>
      <c r="N1052" s="453"/>
      <c r="O1052" s="453"/>
    </row>
    <row r="1053" spans="1:15" ht="15" customHeight="1" hidden="1">
      <c r="A1053" s="343" t="s">
        <v>46</v>
      </c>
      <c r="B1053" s="343"/>
      <c r="C1053" s="111">
        <f t="shared" si="263"/>
        <v>0</v>
      </c>
      <c r="D1053" s="120">
        <v>155000</v>
      </c>
      <c r="E1053" s="120">
        <v>0</v>
      </c>
      <c r="F1053" s="120">
        <v>0</v>
      </c>
      <c r="G1053" s="120">
        <v>0</v>
      </c>
      <c r="H1053" s="28">
        <f t="shared" si="252"/>
        <v>0</v>
      </c>
      <c r="I1053" s="120">
        <v>0</v>
      </c>
      <c r="J1053" s="120">
        <v>0</v>
      </c>
      <c r="K1053" s="120">
        <v>0</v>
      </c>
      <c r="L1053" s="451"/>
      <c r="M1053" s="448"/>
      <c r="N1053" s="453"/>
      <c r="O1053" s="453"/>
    </row>
    <row r="1054" spans="1:15" ht="15" customHeight="1" hidden="1">
      <c r="A1054" s="343" t="s">
        <v>46</v>
      </c>
      <c r="B1054" s="343"/>
      <c r="C1054" s="111">
        <f t="shared" si="263"/>
        <v>0</v>
      </c>
      <c r="D1054" s="120">
        <v>951</v>
      </c>
      <c r="E1054" s="120">
        <v>0</v>
      </c>
      <c r="F1054" s="120">
        <v>0</v>
      </c>
      <c r="G1054" s="120">
        <v>0</v>
      </c>
      <c r="H1054" s="28">
        <f t="shared" si="252"/>
        <v>0</v>
      </c>
      <c r="I1054" s="120">
        <v>0</v>
      </c>
      <c r="J1054" s="120">
        <v>0</v>
      </c>
      <c r="K1054" s="120">
        <v>0</v>
      </c>
      <c r="L1054" s="451"/>
      <c r="M1054" s="448"/>
      <c r="N1054" s="453"/>
      <c r="O1054" s="453"/>
    </row>
    <row r="1055" spans="1:15" ht="25.5" customHeight="1" hidden="1">
      <c r="A1055" s="343" t="s">
        <v>46</v>
      </c>
      <c r="B1055" s="343"/>
      <c r="C1055" s="111">
        <f t="shared" si="263"/>
        <v>0</v>
      </c>
      <c r="D1055" s="120">
        <v>0</v>
      </c>
      <c r="E1055" s="120">
        <v>0</v>
      </c>
      <c r="F1055" s="120">
        <v>0</v>
      </c>
      <c r="G1055" s="120">
        <v>0</v>
      </c>
      <c r="H1055" s="28">
        <f t="shared" si="252"/>
        <v>0</v>
      </c>
      <c r="I1055" s="120">
        <v>0</v>
      </c>
      <c r="J1055" s="120">
        <v>0</v>
      </c>
      <c r="K1055" s="120">
        <v>0</v>
      </c>
      <c r="L1055" s="451"/>
      <c r="M1055" s="448"/>
      <c r="N1055" s="453"/>
      <c r="O1055" s="453"/>
    </row>
    <row r="1056" spans="1:15" ht="24.75" customHeight="1" hidden="1">
      <c r="A1056" s="343" t="s">
        <v>46</v>
      </c>
      <c r="B1056" s="343"/>
      <c r="C1056" s="111">
        <f t="shared" si="263"/>
        <v>0</v>
      </c>
      <c r="D1056" s="120">
        <v>1000</v>
      </c>
      <c r="E1056" s="120">
        <v>0</v>
      </c>
      <c r="F1056" s="120">
        <v>0</v>
      </c>
      <c r="G1056" s="120">
        <v>0</v>
      </c>
      <c r="H1056" s="28">
        <f t="shared" si="252"/>
        <v>0</v>
      </c>
      <c r="I1056" s="120">
        <v>0</v>
      </c>
      <c r="J1056" s="120">
        <v>0</v>
      </c>
      <c r="K1056" s="120">
        <v>0</v>
      </c>
      <c r="L1056" s="451"/>
      <c r="M1056" s="448"/>
      <c r="N1056" s="453"/>
      <c r="O1056" s="453"/>
    </row>
    <row r="1057" spans="1:15" ht="15" customHeight="1" hidden="1">
      <c r="A1057" s="343" t="s">
        <v>46</v>
      </c>
      <c r="B1057" s="343"/>
      <c r="C1057" s="111">
        <f t="shared" si="263"/>
        <v>1884</v>
      </c>
      <c r="D1057" s="120">
        <v>597.8</v>
      </c>
      <c r="E1057" s="120">
        <v>628</v>
      </c>
      <c r="F1057" s="120">
        <v>628</v>
      </c>
      <c r="G1057" s="120">
        <v>628</v>
      </c>
      <c r="H1057" s="28">
        <f t="shared" si="252"/>
        <v>1937.8</v>
      </c>
      <c r="I1057" s="120">
        <v>628</v>
      </c>
      <c r="J1057" s="120">
        <v>628</v>
      </c>
      <c r="K1057" s="120">
        <v>681.8</v>
      </c>
      <c r="L1057" s="451"/>
      <c r="M1057" s="448"/>
      <c r="N1057" s="453"/>
      <c r="O1057" s="453"/>
    </row>
    <row r="1058" spans="1:15" ht="15" customHeight="1" hidden="1">
      <c r="A1058" s="343" t="s">
        <v>46</v>
      </c>
      <c r="B1058" s="343"/>
      <c r="C1058" s="111">
        <f t="shared" si="263"/>
        <v>300</v>
      </c>
      <c r="D1058" s="120">
        <v>230</v>
      </c>
      <c r="E1058" s="120">
        <v>100</v>
      </c>
      <c r="F1058" s="120">
        <v>100</v>
      </c>
      <c r="G1058" s="120">
        <v>100</v>
      </c>
      <c r="H1058" s="28">
        <f t="shared" si="252"/>
        <v>308.6</v>
      </c>
      <c r="I1058" s="120">
        <v>100</v>
      </c>
      <c r="J1058" s="120">
        <v>100</v>
      </c>
      <c r="K1058" s="120">
        <v>108.6</v>
      </c>
      <c r="L1058" s="451"/>
      <c r="M1058" s="448"/>
      <c r="N1058" s="453"/>
      <c r="O1058" s="453"/>
    </row>
    <row r="1059" spans="1:15" ht="15" customHeight="1" hidden="1">
      <c r="A1059" s="343" t="s">
        <v>46</v>
      </c>
      <c r="B1059" s="343"/>
      <c r="C1059" s="111">
        <f t="shared" si="263"/>
        <v>0</v>
      </c>
      <c r="D1059" s="120"/>
      <c r="E1059" s="120"/>
      <c r="F1059" s="120"/>
      <c r="G1059" s="120"/>
      <c r="H1059" s="28">
        <f t="shared" si="252"/>
        <v>0</v>
      </c>
      <c r="I1059" s="120"/>
      <c r="J1059" s="120"/>
      <c r="K1059" s="120"/>
      <c r="L1059" s="451"/>
      <c r="M1059" s="448"/>
      <c r="N1059" s="453"/>
      <c r="O1059" s="453"/>
    </row>
    <row r="1060" spans="1:15" ht="15" customHeight="1" hidden="1">
      <c r="A1060" s="343" t="s">
        <v>46</v>
      </c>
      <c r="B1060" s="343"/>
      <c r="C1060" s="111">
        <f t="shared" si="263"/>
        <v>0</v>
      </c>
      <c r="D1060" s="120">
        <f aca="true" t="shared" si="264" ref="D1060:K1060">D1052</f>
        <v>30000</v>
      </c>
      <c r="E1060" s="120">
        <f t="shared" si="264"/>
        <v>0</v>
      </c>
      <c r="F1060" s="120">
        <f t="shared" si="264"/>
        <v>0</v>
      </c>
      <c r="G1060" s="120">
        <f>G1052</f>
        <v>0</v>
      </c>
      <c r="H1060" s="28">
        <f t="shared" si="252"/>
        <v>0</v>
      </c>
      <c r="I1060" s="120">
        <f>I1052</f>
        <v>0</v>
      </c>
      <c r="J1060" s="120">
        <f>J1052</f>
        <v>0</v>
      </c>
      <c r="K1060" s="120">
        <f t="shared" si="264"/>
        <v>0</v>
      </c>
      <c r="L1060" s="451"/>
      <c r="M1060" s="448"/>
      <c r="N1060" s="453"/>
      <c r="O1060" s="453"/>
    </row>
    <row r="1061" spans="1:15" ht="15" customHeight="1" hidden="1">
      <c r="A1061" s="343" t="s">
        <v>46</v>
      </c>
      <c r="B1061" s="343"/>
      <c r="C1061" s="111">
        <f t="shared" si="263"/>
        <v>11096.19</v>
      </c>
      <c r="D1061" s="120">
        <f aca="true" t="shared" si="265" ref="D1061:K1062">D1047</f>
        <v>3522.6</v>
      </c>
      <c r="E1061" s="120">
        <f t="shared" si="265"/>
        <v>3698.73</v>
      </c>
      <c r="F1061" s="120">
        <f t="shared" si="265"/>
        <v>3698.73</v>
      </c>
      <c r="G1061" s="120">
        <f aca="true" t="shared" si="266" ref="G1061:J1062">G1047</f>
        <v>3698.73</v>
      </c>
      <c r="H1061" s="28">
        <f t="shared" si="252"/>
        <v>11413.36</v>
      </c>
      <c r="I1061" s="120">
        <f t="shared" si="266"/>
        <v>3698.73</v>
      </c>
      <c r="J1061" s="120">
        <f t="shared" si="266"/>
        <v>3698.73</v>
      </c>
      <c r="K1061" s="120">
        <f t="shared" si="265"/>
        <v>4015.9</v>
      </c>
      <c r="L1061" s="451"/>
      <c r="M1061" s="448"/>
      <c r="N1061" s="453"/>
      <c r="O1061" s="453"/>
    </row>
    <row r="1062" spans="1:15" ht="15" customHeight="1" hidden="1">
      <c r="A1062" s="343" t="s">
        <v>46</v>
      </c>
      <c r="B1062" s="343"/>
      <c r="C1062" s="111">
        <f t="shared" si="263"/>
        <v>1761</v>
      </c>
      <c r="D1062" s="120">
        <f t="shared" si="265"/>
        <v>559.14</v>
      </c>
      <c r="E1062" s="120">
        <f t="shared" si="265"/>
        <v>587</v>
      </c>
      <c r="F1062" s="120">
        <f t="shared" si="265"/>
        <v>587</v>
      </c>
      <c r="G1062" s="120">
        <f t="shared" si="266"/>
        <v>587</v>
      </c>
      <c r="H1062" s="28">
        <f t="shared" si="252"/>
        <v>1811.3</v>
      </c>
      <c r="I1062" s="120">
        <f t="shared" si="266"/>
        <v>587</v>
      </c>
      <c r="J1062" s="120">
        <f t="shared" si="266"/>
        <v>587</v>
      </c>
      <c r="K1062" s="120">
        <f t="shared" si="265"/>
        <v>637.3</v>
      </c>
      <c r="L1062" s="451"/>
      <c r="M1062" s="448"/>
      <c r="N1062" s="453"/>
      <c r="O1062" s="453"/>
    </row>
    <row r="1063" spans="1:15" ht="15" customHeight="1" hidden="1">
      <c r="A1063" s="343" t="s">
        <v>46</v>
      </c>
      <c r="B1063" s="343"/>
      <c r="C1063" s="111">
        <f t="shared" si="263"/>
        <v>57113.700000000004</v>
      </c>
      <c r="D1063" s="120">
        <f aca="true" t="shared" si="267" ref="D1063:K1063">D1042+D1046</f>
        <v>16396.491</v>
      </c>
      <c r="E1063" s="120">
        <f t="shared" si="267"/>
        <v>19037.9</v>
      </c>
      <c r="F1063" s="120">
        <f t="shared" si="267"/>
        <v>19037.9</v>
      </c>
      <c r="G1063" s="120">
        <f>G1042+G1046</f>
        <v>19037.9</v>
      </c>
      <c r="H1063" s="28">
        <f t="shared" si="252"/>
        <v>58746.5</v>
      </c>
      <c r="I1063" s="120">
        <f>I1042+I1046</f>
        <v>19037.9</v>
      </c>
      <c r="J1063" s="120">
        <f>J1042+J1046</f>
        <v>19037.9</v>
      </c>
      <c r="K1063" s="120">
        <f t="shared" si="267"/>
        <v>20670.699999999997</v>
      </c>
      <c r="L1063" s="451"/>
      <c r="M1063" s="448"/>
      <c r="N1063" s="453"/>
      <c r="O1063" s="453"/>
    </row>
    <row r="1064" spans="1:15" ht="15" customHeight="1" hidden="1">
      <c r="A1064" s="343" t="s">
        <v>46</v>
      </c>
      <c r="B1064" s="343"/>
      <c r="C1064" s="111">
        <f t="shared" si="263"/>
        <v>142261.78</v>
      </c>
      <c r="D1064" s="120">
        <f aca="true" t="shared" si="268" ref="D1064:K1064">D1041</f>
        <v>57964.89</v>
      </c>
      <c r="E1064" s="120">
        <f t="shared" si="268"/>
        <v>60208.92</v>
      </c>
      <c r="F1064" s="120">
        <f t="shared" si="268"/>
        <v>41026.43</v>
      </c>
      <c r="G1064" s="120">
        <f>G1041</f>
        <v>41026.43</v>
      </c>
      <c r="H1064" s="28">
        <f t="shared" si="252"/>
        <v>126597.86</v>
      </c>
      <c r="I1064" s="120">
        <f>I1041</f>
        <v>41026.43</v>
      </c>
      <c r="J1064" s="120">
        <f>J1041</f>
        <v>41026.43</v>
      </c>
      <c r="K1064" s="120">
        <f t="shared" si="268"/>
        <v>44545</v>
      </c>
      <c r="L1064" s="451"/>
      <c r="M1064" s="448"/>
      <c r="N1064" s="453"/>
      <c r="O1064" s="453"/>
    </row>
    <row r="1065" spans="1:15" ht="36.75" customHeight="1" hidden="1">
      <c r="A1065" s="343" t="s">
        <v>46</v>
      </c>
      <c r="B1065" s="343"/>
      <c r="C1065" s="111">
        <f t="shared" si="263"/>
        <v>0</v>
      </c>
      <c r="D1065" s="120">
        <f aca="true" t="shared" si="269" ref="D1065:K1065">D1045</f>
        <v>453</v>
      </c>
      <c r="E1065" s="120">
        <f t="shared" si="269"/>
        <v>0</v>
      </c>
      <c r="F1065" s="120">
        <f t="shared" si="269"/>
        <v>0</v>
      </c>
      <c r="G1065" s="120">
        <f>G1045</f>
        <v>0</v>
      </c>
      <c r="H1065" s="28">
        <f t="shared" si="252"/>
        <v>0</v>
      </c>
      <c r="I1065" s="120">
        <f>I1045</f>
        <v>0</v>
      </c>
      <c r="J1065" s="120">
        <f>J1045</f>
        <v>0</v>
      </c>
      <c r="K1065" s="120">
        <f t="shared" si="269"/>
        <v>0</v>
      </c>
      <c r="L1065" s="451"/>
      <c r="M1065" s="448"/>
      <c r="N1065" s="453"/>
      <c r="O1065" s="453"/>
    </row>
    <row r="1066" spans="1:15" ht="15" customHeight="1" hidden="1">
      <c r="A1066" s="343" t="s">
        <v>46</v>
      </c>
      <c r="B1066" s="343"/>
      <c r="C1066" s="111">
        <f t="shared" si="263"/>
        <v>0</v>
      </c>
      <c r="D1066" s="120">
        <f aca="true" t="shared" si="270" ref="D1066:K1066">D1056</f>
        <v>1000</v>
      </c>
      <c r="E1066" s="120">
        <f t="shared" si="270"/>
        <v>0</v>
      </c>
      <c r="F1066" s="120">
        <f t="shared" si="270"/>
        <v>0</v>
      </c>
      <c r="G1066" s="120">
        <f>G1056</f>
        <v>0</v>
      </c>
      <c r="H1066" s="28">
        <f t="shared" si="252"/>
        <v>0</v>
      </c>
      <c r="I1066" s="120">
        <f>I1056</f>
        <v>0</v>
      </c>
      <c r="J1066" s="120">
        <f>J1056</f>
        <v>0</v>
      </c>
      <c r="K1066" s="120">
        <f t="shared" si="270"/>
        <v>0</v>
      </c>
      <c r="L1066" s="451"/>
      <c r="M1066" s="448"/>
      <c r="N1066" s="453"/>
      <c r="O1066" s="453"/>
    </row>
    <row r="1067" spans="1:15" ht="15" customHeight="1" hidden="1">
      <c r="A1067" s="343" t="s">
        <v>46</v>
      </c>
      <c r="B1067" s="343"/>
      <c r="C1067" s="111">
        <f t="shared" si="263"/>
        <v>1110</v>
      </c>
      <c r="D1067" s="120">
        <f aca="true" t="shared" si="271" ref="D1067:K1067">D1051+D1058</f>
        <v>470</v>
      </c>
      <c r="E1067" s="120">
        <f t="shared" si="271"/>
        <v>370</v>
      </c>
      <c r="F1067" s="120">
        <f t="shared" si="271"/>
        <v>370</v>
      </c>
      <c r="G1067" s="120">
        <f>G1051+G1058</f>
        <v>370</v>
      </c>
      <c r="H1067" s="28">
        <f aca="true" t="shared" si="272" ref="H1067:H1130">I1067+J1067+K1067</f>
        <v>1141.8</v>
      </c>
      <c r="I1067" s="120">
        <f>I1051+I1058</f>
        <v>370</v>
      </c>
      <c r="J1067" s="120">
        <f>J1051+J1058</f>
        <v>370</v>
      </c>
      <c r="K1067" s="120">
        <f t="shared" si="271"/>
        <v>401.79999999999995</v>
      </c>
      <c r="L1067" s="451"/>
      <c r="M1067" s="448"/>
      <c r="N1067" s="453"/>
      <c r="O1067" s="453"/>
    </row>
    <row r="1068" spans="1:15" ht="15" customHeight="1" hidden="1">
      <c r="A1068" s="343" t="s">
        <v>46</v>
      </c>
      <c r="B1068" s="343"/>
      <c r="C1068" s="111">
        <f t="shared" si="263"/>
        <v>0</v>
      </c>
      <c r="D1068" s="120">
        <f aca="true" t="shared" si="273" ref="D1068:K1068">D1053</f>
        <v>155000</v>
      </c>
      <c r="E1068" s="120">
        <f t="shared" si="273"/>
        <v>0</v>
      </c>
      <c r="F1068" s="120">
        <f t="shared" si="273"/>
        <v>0</v>
      </c>
      <c r="G1068" s="120">
        <f>G1053</f>
        <v>0</v>
      </c>
      <c r="H1068" s="28">
        <f t="shared" si="272"/>
        <v>0</v>
      </c>
      <c r="I1068" s="120">
        <f>I1053</f>
        <v>0</v>
      </c>
      <c r="J1068" s="120">
        <f>J1053</f>
        <v>0</v>
      </c>
      <c r="K1068" s="120">
        <f t="shared" si="273"/>
        <v>0</v>
      </c>
      <c r="L1068" s="451"/>
      <c r="M1068" s="448"/>
      <c r="N1068" s="453"/>
      <c r="O1068" s="453"/>
    </row>
    <row r="1069" spans="1:15" ht="15" customHeight="1" hidden="1">
      <c r="A1069" s="343" t="s">
        <v>46</v>
      </c>
      <c r="B1069" s="343"/>
      <c r="C1069" s="111">
        <f t="shared" si="263"/>
        <v>7949.099999999999</v>
      </c>
      <c r="D1069" s="120">
        <f aca="true" t="shared" si="274" ref="D1069:K1069">D1038+D1043+D1050+D1057</f>
        <v>4523.9</v>
      </c>
      <c r="E1069" s="120">
        <f t="shared" si="274"/>
        <v>2649.7</v>
      </c>
      <c r="F1069" s="120">
        <f t="shared" si="274"/>
        <v>2649.7</v>
      </c>
      <c r="G1069" s="120">
        <f>G1038+G1043+G1050+G1057</f>
        <v>2649.7</v>
      </c>
      <c r="H1069" s="28">
        <f t="shared" si="272"/>
        <v>8176.299999999999</v>
      </c>
      <c r="I1069" s="120">
        <f>I1038+I1043+I1050+I1057</f>
        <v>2649.7</v>
      </c>
      <c r="J1069" s="120">
        <f>J1038+J1043+J1050+J1057</f>
        <v>2649.7</v>
      </c>
      <c r="K1069" s="120">
        <f t="shared" si="274"/>
        <v>2876.8999999999996</v>
      </c>
      <c r="L1069" s="451"/>
      <c r="M1069" s="448"/>
      <c r="N1069" s="453"/>
      <c r="O1069" s="453"/>
    </row>
    <row r="1070" spans="1:15" ht="15" customHeight="1" hidden="1">
      <c r="A1070" s="343" t="s">
        <v>46</v>
      </c>
      <c r="B1070" s="343"/>
      <c r="C1070" s="111">
        <f t="shared" si="263"/>
        <v>1761</v>
      </c>
      <c r="D1070" s="120">
        <f aca="true" t="shared" si="275" ref="D1070:K1070">D1040</f>
        <v>559</v>
      </c>
      <c r="E1070" s="120">
        <f t="shared" si="275"/>
        <v>587</v>
      </c>
      <c r="F1070" s="120">
        <f t="shared" si="275"/>
        <v>587</v>
      </c>
      <c r="G1070" s="120">
        <f>G1040</f>
        <v>587</v>
      </c>
      <c r="H1070" s="28">
        <f t="shared" si="272"/>
        <v>1811.3</v>
      </c>
      <c r="I1070" s="120">
        <f>I1040</f>
        <v>587</v>
      </c>
      <c r="J1070" s="120">
        <f>J1040</f>
        <v>587</v>
      </c>
      <c r="K1070" s="120">
        <f t="shared" si="275"/>
        <v>637.3</v>
      </c>
      <c r="L1070" s="451"/>
      <c r="M1070" s="448"/>
      <c r="N1070" s="453"/>
      <c r="O1070" s="453"/>
    </row>
    <row r="1071" spans="1:15" ht="15" customHeight="1" hidden="1">
      <c r="A1071" s="343" t="s">
        <v>46</v>
      </c>
      <c r="B1071" s="343"/>
      <c r="C1071" s="111">
        <f t="shared" si="263"/>
        <v>111797.55000000002</v>
      </c>
      <c r="D1071" s="120">
        <f aca="true" t="shared" si="276" ref="D1071:K1071">D1044+D1054</f>
        <v>31327.88</v>
      </c>
      <c r="E1071" s="120">
        <f t="shared" si="276"/>
        <v>37265.850000000006</v>
      </c>
      <c r="F1071" s="120">
        <f t="shared" si="276"/>
        <v>37265.850000000006</v>
      </c>
      <c r="G1071" s="120">
        <f>G1044+G1054</f>
        <v>37265.850000000006</v>
      </c>
      <c r="H1071" s="28">
        <f t="shared" si="272"/>
        <v>114993.6</v>
      </c>
      <c r="I1071" s="120">
        <f>I1044+I1054</f>
        <v>37265.850000000006</v>
      </c>
      <c r="J1071" s="120">
        <f>J1044+J1054</f>
        <v>37265.850000000006</v>
      </c>
      <c r="K1071" s="120">
        <f t="shared" si="276"/>
        <v>40461.899999999994</v>
      </c>
      <c r="L1071" s="451"/>
      <c r="M1071" s="448"/>
      <c r="N1071" s="453"/>
      <c r="O1071" s="453"/>
    </row>
    <row r="1072" spans="1:15" ht="40.5" customHeight="1" hidden="1">
      <c r="A1072" s="343" t="s">
        <v>46</v>
      </c>
      <c r="B1072" s="343"/>
      <c r="C1072" s="111">
        <f t="shared" si="263"/>
        <v>258621.90000000002</v>
      </c>
      <c r="D1072" s="120">
        <f aca="true" t="shared" si="277" ref="D1072:K1072">D1039+D1049</f>
        <v>83754.6</v>
      </c>
      <c r="E1072" s="120">
        <f t="shared" si="277"/>
        <v>86207.3</v>
      </c>
      <c r="F1072" s="120">
        <f t="shared" si="277"/>
        <v>86207.3</v>
      </c>
      <c r="G1072" s="120">
        <f>G1039+G1049</f>
        <v>86207.3</v>
      </c>
      <c r="H1072" s="28">
        <f t="shared" si="272"/>
        <v>266015.4</v>
      </c>
      <c r="I1072" s="120">
        <f>I1039+I1049</f>
        <v>86207.3</v>
      </c>
      <c r="J1072" s="120">
        <f>J1039+J1049</f>
        <v>86207.3</v>
      </c>
      <c r="K1072" s="120">
        <f t="shared" si="277"/>
        <v>93600.8</v>
      </c>
      <c r="L1072" s="451"/>
      <c r="M1072" s="448"/>
      <c r="N1072" s="453"/>
      <c r="O1072" s="453"/>
    </row>
    <row r="1073" spans="1:15" ht="15" customHeight="1" hidden="1">
      <c r="A1073" s="343" t="s">
        <v>46</v>
      </c>
      <c r="B1073" s="343"/>
      <c r="C1073" s="111">
        <f t="shared" si="263"/>
        <v>0</v>
      </c>
      <c r="D1073" s="120">
        <f aca="true" t="shared" si="278" ref="D1073:K1073">D1055</f>
        <v>0</v>
      </c>
      <c r="E1073" s="120">
        <f t="shared" si="278"/>
        <v>0</v>
      </c>
      <c r="F1073" s="120">
        <f t="shared" si="278"/>
        <v>0</v>
      </c>
      <c r="G1073" s="120">
        <f>G1055</f>
        <v>0</v>
      </c>
      <c r="H1073" s="28">
        <f t="shared" si="272"/>
        <v>0</v>
      </c>
      <c r="I1073" s="120">
        <f>I1055</f>
        <v>0</v>
      </c>
      <c r="J1073" s="120">
        <f>J1055</f>
        <v>0</v>
      </c>
      <c r="K1073" s="120">
        <f t="shared" si="278"/>
        <v>0</v>
      </c>
      <c r="L1073" s="451"/>
      <c r="M1073" s="448"/>
      <c r="N1073" s="453"/>
      <c r="O1073" s="453"/>
    </row>
    <row r="1074" spans="1:15" ht="15" customHeight="1">
      <c r="A1074" s="343" t="s">
        <v>46</v>
      </c>
      <c r="B1074" s="343"/>
      <c r="C1074" s="112">
        <f>SUM(D1074:K1074)</f>
        <v>465929.0062500001</v>
      </c>
      <c r="D1074" s="120">
        <f>D1085+D1108+D1207+D1258+D1304+D1371</f>
        <v>123865.38000000002</v>
      </c>
      <c r="E1074" s="120">
        <f>E1085+E1108+E1207+E1258+E1304+E1371</f>
        <v>136463.25441</v>
      </c>
      <c r="F1074" s="120">
        <f>F1085+F1108+F1207+F1258+F1304+F1371</f>
        <v>132726.64142000003</v>
      </c>
      <c r="G1074" s="120">
        <f>G1085+G1108+G1207+G1258+G1304+G1371</f>
        <v>29706.022419999998</v>
      </c>
      <c r="H1074" s="28">
        <f t="shared" si="272"/>
        <v>21583.854000000003</v>
      </c>
      <c r="I1074" s="120">
        <f>I1166+I1144</f>
        <v>21014.054</v>
      </c>
      <c r="J1074" s="120">
        <f>J1166+J1144</f>
        <v>284.9</v>
      </c>
      <c r="K1074" s="120">
        <f>K1166+K1144</f>
        <v>284.9</v>
      </c>
      <c r="L1074" s="451"/>
      <c r="M1074" s="448"/>
      <c r="N1074" s="453"/>
      <c r="O1074" s="453"/>
    </row>
    <row r="1075" spans="1:15" ht="15" customHeight="1">
      <c r="A1075" s="343" t="s">
        <v>46</v>
      </c>
      <c r="B1075" s="343"/>
      <c r="C1075" s="112">
        <f>SUM(D1075:K1075)</f>
        <v>576769.728</v>
      </c>
      <c r="D1075" s="120">
        <f>D1205+D1272+D1399</f>
        <v>1923</v>
      </c>
      <c r="E1075" s="120">
        <f>E1205+E1272+E1399</f>
        <v>57919</v>
      </c>
      <c r="F1075" s="120">
        <f>F1205+F1272+F1399</f>
        <v>61043.528000000006</v>
      </c>
      <c r="G1075" s="120">
        <f>G1205+G1272+G1399</f>
        <v>61084.2</v>
      </c>
      <c r="H1075" s="28">
        <f t="shared" si="272"/>
        <v>197400</v>
      </c>
      <c r="I1075" s="120">
        <f>I1205+I1272+I1399</f>
        <v>73400</v>
      </c>
      <c r="J1075" s="120">
        <f>J1205+J1272+J1399</f>
        <v>62000</v>
      </c>
      <c r="K1075" s="120">
        <f>K1205+K1272+K1399</f>
        <v>62000</v>
      </c>
      <c r="L1075" s="451"/>
      <c r="M1075" s="448"/>
      <c r="N1075" s="453"/>
      <c r="O1075" s="453"/>
    </row>
    <row r="1076" spans="1:15" ht="15" customHeight="1">
      <c r="A1076" s="343" t="s">
        <v>46</v>
      </c>
      <c r="B1076" s="343"/>
      <c r="C1076" s="112">
        <f>SUM(D1076:K1076)</f>
        <v>2015675.8056899998</v>
      </c>
      <c r="D1076" s="120">
        <f>D1107+D1206</f>
        <v>80743.12</v>
      </c>
      <c r="E1076" s="120">
        <f>E1107+E1206</f>
        <v>85900.77872999999</v>
      </c>
      <c r="F1076" s="120">
        <f>F1107+F1206</f>
        <v>104102.105</v>
      </c>
      <c r="G1076" s="120">
        <f>G1107+G1206</f>
        <v>207585.96758</v>
      </c>
      <c r="H1076" s="28">
        <f t="shared" si="272"/>
        <v>768671.91719</v>
      </c>
      <c r="I1076" s="120">
        <f>I1107+I1206+I1369+I1083</f>
        <v>242399.95099</v>
      </c>
      <c r="J1076" s="120">
        <f>J1107+J1206+J1369+J1083</f>
        <v>263101.75009999995</v>
      </c>
      <c r="K1076" s="120">
        <f>K1107+K1206+K1369+K1083</f>
        <v>263170.21609999996</v>
      </c>
      <c r="L1076" s="451"/>
      <c r="M1076" s="448"/>
      <c r="N1076" s="453"/>
      <c r="O1076" s="453"/>
    </row>
    <row r="1077" spans="1:15" ht="15" customHeight="1">
      <c r="A1077" s="343" t="s">
        <v>46</v>
      </c>
      <c r="B1077" s="343"/>
      <c r="C1077" s="111">
        <f t="shared" si="263"/>
        <v>0</v>
      </c>
      <c r="D1077" s="120">
        <f aca="true" t="shared" si="279" ref="D1077:F1078">D1301</f>
        <v>0</v>
      </c>
      <c r="E1077" s="120">
        <f t="shared" si="279"/>
        <v>0</v>
      </c>
      <c r="F1077" s="120">
        <f t="shared" si="279"/>
        <v>0</v>
      </c>
      <c r="G1077" s="120">
        <f>G1301</f>
        <v>0</v>
      </c>
      <c r="H1077" s="28">
        <f t="shared" si="272"/>
        <v>0</v>
      </c>
      <c r="I1077" s="120">
        <f>I1301</f>
        <v>0</v>
      </c>
      <c r="J1077" s="120">
        <f>J1301</f>
        <v>0</v>
      </c>
      <c r="K1077" s="120">
        <f>K1301</f>
        <v>0</v>
      </c>
      <c r="L1077" s="451"/>
      <c r="M1077" s="448"/>
      <c r="N1077" s="453"/>
      <c r="O1077" s="453"/>
    </row>
    <row r="1078" spans="1:15" ht="15" customHeight="1">
      <c r="A1078" s="343" t="s">
        <v>46</v>
      </c>
      <c r="B1078" s="343"/>
      <c r="C1078" s="112">
        <f>SUM(D1078:K1078)</f>
        <v>598844.52938</v>
      </c>
      <c r="D1078" s="120">
        <f t="shared" si="279"/>
        <v>188000</v>
      </c>
      <c r="E1078" s="120">
        <f t="shared" si="279"/>
        <v>114718.00529</v>
      </c>
      <c r="F1078" s="120">
        <f t="shared" si="279"/>
        <v>0</v>
      </c>
      <c r="G1078" s="120">
        <f>G1300</f>
        <v>143322.52409</v>
      </c>
      <c r="H1078" s="28">
        <f t="shared" si="272"/>
        <v>76402</v>
      </c>
      <c r="I1078" s="120">
        <f>I1300</f>
        <v>76402</v>
      </c>
      <c r="J1078" s="120">
        <f>J1300</f>
        <v>0</v>
      </c>
      <c r="K1078" s="120">
        <f>K1300</f>
        <v>0</v>
      </c>
      <c r="L1078" s="451"/>
      <c r="M1078" s="448"/>
      <c r="N1078" s="453"/>
      <c r="O1078" s="453"/>
    </row>
    <row r="1079" spans="1:15" ht="15.75" customHeight="1">
      <c r="A1079" s="343" t="s">
        <v>47</v>
      </c>
      <c r="B1079" s="343"/>
      <c r="C1079" s="112">
        <f>SUM(D1079:K1079)</f>
        <v>282806.52300000004</v>
      </c>
      <c r="D1079" s="120">
        <f aca="true" t="shared" si="280" ref="D1079:G1080">D1086+D1109+D1208+D1259+D1273+D1305+D1372+D1400</f>
        <v>19058.82</v>
      </c>
      <c r="E1079" s="120">
        <f t="shared" si="280"/>
        <v>20023.9</v>
      </c>
      <c r="F1079" s="120">
        <f t="shared" si="280"/>
        <v>20023.9</v>
      </c>
      <c r="G1079" s="120">
        <f t="shared" si="280"/>
        <v>43199.083</v>
      </c>
      <c r="H1079" s="28">
        <f t="shared" si="272"/>
        <v>90250.41</v>
      </c>
      <c r="I1079" s="120">
        <f aca="true" t="shared" si="281" ref="I1079:K1080">I1086+I1109+I1208+I1259+I1273+I1305+I1372+I1400</f>
        <v>30083.47</v>
      </c>
      <c r="J1079" s="120">
        <f t="shared" si="281"/>
        <v>30083.47</v>
      </c>
      <c r="K1079" s="120">
        <f t="shared" si="281"/>
        <v>30083.47</v>
      </c>
      <c r="L1079" s="451"/>
      <c r="M1079" s="448"/>
      <c r="N1079" s="453"/>
      <c r="O1079" s="453"/>
    </row>
    <row r="1080" spans="1:15" ht="15" customHeight="1">
      <c r="A1080" s="343" t="s">
        <v>48</v>
      </c>
      <c r="B1080" s="343"/>
      <c r="C1080" s="111">
        <f t="shared" si="263"/>
        <v>0</v>
      </c>
      <c r="D1080" s="120">
        <f t="shared" si="280"/>
        <v>0</v>
      </c>
      <c r="E1080" s="120">
        <f t="shared" si="280"/>
        <v>0</v>
      </c>
      <c r="F1080" s="120">
        <f t="shared" si="280"/>
        <v>0</v>
      </c>
      <c r="G1080" s="120">
        <f t="shared" si="280"/>
        <v>0</v>
      </c>
      <c r="H1080" s="28">
        <f t="shared" si="272"/>
        <v>0</v>
      </c>
      <c r="I1080" s="120">
        <f t="shared" si="281"/>
        <v>0</v>
      </c>
      <c r="J1080" s="120">
        <f t="shared" si="281"/>
        <v>0</v>
      </c>
      <c r="K1080" s="120">
        <f t="shared" si="281"/>
        <v>0</v>
      </c>
      <c r="L1080" s="451"/>
      <c r="M1080" s="448"/>
      <c r="N1080" s="453"/>
      <c r="O1080" s="453"/>
    </row>
    <row r="1081" spans="1:15" ht="15" customHeight="1">
      <c r="A1081" s="343" t="s">
        <v>49</v>
      </c>
      <c r="B1081" s="343"/>
      <c r="C1081" s="112">
        <f>SUM(D1081:K1081)</f>
        <v>4600</v>
      </c>
      <c r="D1081" s="120">
        <f>D1088+D1111+D1210+D1261+D1275+D1307+D1374+D1402</f>
        <v>575</v>
      </c>
      <c r="E1081" s="120">
        <f>E1088+E1111+E1210+E1261+E1275+E1307+E1374+E1402</f>
        <v>575</v>
      </c>
      <c r="F1081" s="120">
        <v>575</v>
      </c>
      <c r="G1081" s="120">
        <v>575</v>
      </c>
      <c r="H1081" s="28">
        <f t="shared" si="272"/>
        <v>1150</v>
      </c>
      <c r="I1081" s="120">
        <v>575</v>
      </c>
      <c r="J1081" s="120">
        <v>575</v>
      </c>
      <c r="K1081" s="120">
        <v>0</v>
      </c>
      <c r="L1081" s="451"/>
      <c r="M1081" s="448"/>
      <c r="N1081" s="453"/>
      <c r="O1081" s="453"/>
    </row>
    <row r="1082" spans="1:15" ht="36.75" customHeight="1">
      <c r="A1082" s="455" t="s">
        <v>325</v>
      </c>
      <c r="B1082" s="456"/>
      <c r="C1082" s="188"/>
      <c r="D1082" s="188"/>
      <c r="E1082" s="188"/>
      <c r="F1082" s="188"/>
      <c r="G1082" s="188"/>
      <c r="H1082" s="28"/>
      <c r="I1082" s="189"/>
      <c r="J1082" s="189"/>
      <c r="K1082" s="189"/>
      <c r="L1082" s="454" t="s">
        <v>224</v>
      </c>
      <c r="M1082" s="454"/>
      <c r="N1082" s="452">
        <v>2014</v>
      </c>
      <c r="O1082" s="452">
        <v>2020</v>
      </c>
    </row>
    <row r="1083" spans="1:15" ht="15" customHeight="1">
      <c r="A1083" s="299" t="s">
        <v>52</v>
      </c>
      <c r="B1083" s="299"/>
      <c r="C1083" s="111">
        <f>SUM(E1083:G1083)</f>
        <v>58</v>
      </c>
      <c r="D1083" s="120">
        <f aca="true" t="shared" si="282" ref="D1083:K1083">SUM(D1084:D1088)</f>
        <v>1176.7</v>
      </c>
      <c r="E1083" s="120">
        <f t="shared" si="282"/>
        <v>28</v>
      </c>
      <c r="F1083" s="120">
        <f t="shared" si="282"/>
        <v>30</v>
      </c>
      <c r="G1083" s="120">
        <f t="shared" si="282"/>
        <v>0</v>
      </c>
      <c r="H1083" s="28">
        <f t="shared" si="272"/>
        <v>90</v>
      </c>
      <c r="I1083" s="120">
        <f t="shared" si="282"/>
        <v>30</v>
      </c>
      <c r="J1083" s="120">
        <f t="shared" si="282"/>
        <v>30</v>
      </c>
      <c r="K1083" s="120">
        <f t="shared" si="282"/>
        <v>30</v>
      </c>
      <c r="L1083" s="454"/>
      <c r="M1083" s="454"/>
      <c r="N1083" s="452"/>
      <c r="O1083" s="452"/>
    </row>
    <row r="1084" spans="1:15" ht="15" customHeight="1">
      <c r="A1084" s="299" t="s">
        <v>45</v>
      </c>
      <c r="B1084" s="299"/>
      <c r="C1084" s="111">
        <f>SUM(E1084:G1084)</f>
        <v>0</v>
      </c>
      <c r="D1084" s="120">
        <f aca="true" t="shared" si="283" ref="D1084:F1088">D1091+D1098</f>
        <v>0</v>
      </c>
      <c r="E1084" s="120">
        <f t="shared" si="283"/>
        <v>0</v>
      </c>
      <c r="F1084" s="120">
        <f t="shared" si="283"/>
        <v>0</v>
      </c>
      <c r="G1084" s="120">
        <f aca="true" t="shared" si="284" ref="G1084:J1088">G1091+G1098</f>
        <v>0</v>
      </c>
      <c r="H1084" s="28">
        <f t="shared" si="272"/>
        <v>0</v>
      </c>
      <c r="I1084" s="120">
        <f t="shared" si="284"/>
        <v>0</v>
      </c>
      <c r="J1084" s="120">
        <f t="shared" si="284"/>
        <v>0</v>
      </c>
      <c r="K1084" s="120">
        <f>K1091+K1098</f>
        <v>0</v>
      </c>
      <c r="L1084" s="454"/>
      <c r="M1084" s="454"/>
      <c r="N1084" s="452"/>
      <c r="O1084" s="452"/>
    </row>
    <row r="1085" spans="1:15" ht="15" customHeight="1">
      <c r="A1085" s="299" t="s">
        <v>46</v>
      </c>
      <c r="B1085" s="299"/>
      <c r="C1085" s="112">
        <f>SUM(D1085:K1085)</f>
        <v>1414.7</v>
      </c>
      <c r="D1085" s="120">
        <f t="shared" si="283"/>
        <v>1176.7</v>
      </c>
      <c r="E1085" s="120">
        <f t="shared" si="283"/>
        <v>28</v>
      </c>
      <c r="F1085" s="120">
        <f t="shared" si="283"/>
        <v>30</v>
      </c>
      <c r="G1085" s="120">
        <f>G1092+G1099</f>
        <v>0</v>
      </c>
      <c r="H1085" s="28">
        <f t="shared" si="272"/>
        <v>90</v>
      </c>
      <c r="I1085" s="120">
        <f>I1092+I1099</f>
        <v>30</v>
      </c>
      <c r="J1085" s="120">
        <f>J1092+J1099</f>
        <v>30</v>
      </c>
      <c r="K1085" s="120">
        <f>K1092+K1099</f>
        <v>30</v>
      </c>
      <c r="L1085" s="454"/>
      <c r="M1085" s="454"/>
      <c r="N1085" s="452"/>
      <c r="O1085" s="452"/>
    </row>
    <row r="1086" spans="1:15" ht="15" customHeight="1">
      <c r="A1086" s="299" t="s">
        <v>47</v>
      </c>
      <c r="B1086" s="299"/>
      <c r="C1086" s="111">
        <f>SUM(E1086:G1086)</f>
        <v>0</v>
      </c>
      <c r="D1086" s="120">
        <f t="shared" si="283"/>
        <v>0</v>
      </c>
      <c r="E1086" s="120">
        <f t="shared" si="283"/>
        <v>0</v>
      </c>
      <c r="F1086" s="120">
        <f t="shared" si="283"/>
        <v>0</v>
      </c>
      <c r="G1086" s="120">
        <f t="shared" si="284"/>
        <v>0</v>
      </c>
      <c r="H1086" s="28">
        <f t="shared" si="272"/>
        <v>0</v>
      </c>
      <c r="I1086" s="120">
        <f t="shared" si="284"/>
        <v>0</v>
      </c>
      <c r="J1086" s="120">
        <f t="shared" si="284"/>
        <v>0</v>
      </c>
      <c r="K1086" s="120">
        <f>K1093+K1100</f>
        <v>0</v>
      </c>
      <c r="L1086" s="454"/>
      <c r="M1086" s="454"/>
      <c r="N1086" s="452"/>
      <c r="O1086" s="452"/>
    </row>
    <row r="1087" spans="1:15" ht="15" customHeight="1">
      <c r="A1087" s="299" t="s">
        <v>48</v>
      </c>
      <c r="B1087" s="299"/>
      <c r="C1087" s="111">
        <f>SUM(E1087:G1087)</f>
        <v>0</v>
      </c>
      <c r="D1087" s="120">
        <f t="shared" si="283"/>
        <v>0</v>
      </c>
      <c r="E1087" s="120">
        <f t="shared" si="283"/>
        <v>0</v>
      </c>
      <c r="F1087" s="120">
        <f t="shared" si="283"/>
        <v>0</v>
      </c>
      <c r="G1087" s="120">
        <f t="shared" si="284"/>
        <v>0</v>
      </c>
      <c r="H1087" s="28">
        <f t="shared" si="272"/>
        <v>0</v>
      </c>
      <c r="I1087" s="120">
        <f t="shared" si="284"/>
        <v>0</v>
      </c>
      <c r="J1087" s="120">
        <f t="shared" si="284"/>
        <v>0</v>
      </c>
      <c r="K1087" s="120">
        <f>K1094+K1101</f>
        <v>0</v>
      </c>
      <c r="L1087" s="454"/>
      <c r="M1087" s="454"/>
      <c r="N1087" s="452"/>
      <c r="O1087" s="452"/>
    </row>
    <row r="1088" spans="1:15" ht="15" customHeight="1">
      <c r="A1088" s="299" t="s">
        <v>49</v>
      </c>
      <c r="B1088" s="299"/>
      <c r="C1088" s="111">
        <f>SUM(E1088:G1088)</f>
        <v>0</v>
      </c>
      <c r="D1088" s="120">
        <f t="shared" si="283"/>
        <v>0</v>
      </c>
      <c r="E1088" s="120">
        <f t="shared" si="283"/>
        <v>0</v>
      </c>
      <c r="F1088" s="120">
        <f t="shared" si="283"/>
        <v>0</v>
      </c>
      <c r="G1088" s="120">
        <f t="shared" si="284"/>
        <v>0</v>
      </c>
      <c r="H1088" s="28">
        <f t="shared" si="272"/>
        <v>0</v>
      </c>
      <c r="I1088" s="120">
        <f t="shared" si="284"/>
        <v>0</v>
      </c>
      <c r="J1088" s="120">
        <f t="shared" si="284"/>
        <v>0</v>
      </c>
      <c r="K1088" s="120">
        <f>K1095+K1102</f>
        <v>0</v>
      </c>
      <c r="L1088" s="454"/>
      <c r="M1088" s="454"/>
      <c r="N1088" s="452"/>
      <c r="O1088" s="452"/>
    </row>
    <row r="1089" spans="1:15" ht="48" customHeight="1">
      <c r="A1089" s="340" t="s">
        <v>326</v>
      </c>
      <c r="B1089" s="341"/>
      <c r="C1089" s="189"/>
      <c r="D1089" s="189"/>
      <c r="E1089" s="189"/>
      <c r="F1089" s="189"/>
      <c r="G1089" s="189"/>
      <c r="H1089" s="28"/>
      <c r="I1089" s="189"/>
      <c r="J1089" s="189"/>
      <c r="K1089" s="189"/>
      <c r="L1089" s="454" t="s">
        <v>224</v>
      </c>
      <c r="M1089" s="454"/>
      <c r="N1089" s="303" t="s">
        <v>267</v>
      </c>
      <c r="O1089" s="303" t="s">
        <v>267</v>
      </c>
    </row>
    <row r="1090" spans="1:15" ht="15" customHeight="1">
      <c r="A1090" s="299" t="s">
        <v>52</v>
      </c>
      <c r="B1090" s="299"/>
      <c r="C1090" s="120">
        <f aca="true" t="shared" si="285" ref="C1090:K1090">SUM(C1091:C1095)</f>
        <v>264.7</v>
      </c>
      <c r="D1090" s="120">
        <f t="shared" si="285"/>
        <v>26.7</v>
      </c>
      <c r="E1090" s="120">
        <f t="shared" si="285"/>
        <v>28</v>
      </c>
      <c r="F1090" s="120">
        <f t="shared" si="285"/>
        <v>30</v>
      </c>
      <c r="G1090" s="120">
        <f>SUM(G1091:G1095)</f>
        <v>0</v>
      </c>
      <c r="H1090" s="28">
        <f t="shared" si="272"/>
        <v>90</v>
      </c>
      <c r="I1090" s="120">
        <f>SUM(I1091:I1095)</f>
        <v>30</v>
      </c>
      <c r="J1090" s="120">
        <f>SUM(J1091:J1095)</f>
        <v>30</v>
      </c>
      <c r="K1090" s="120">
        <f t="shared" si="285"/>
        <v>30</v>
      </c>
      <c r="L1090" s="454"/>
      <c r="M1090" s="454"/>
      <c r="N1090" s="304"/>
      <c r="O1090" s="304"/>
    </row>
    <row r="1091" spans="1:15" ht="15" customHeight="1">
      <c r="A1091" s="299" t="s">
        <v>45</v>
      </c>
      <c r="B1091" s="299"/>
      <c r="C1091" s="111">
        <f>SUM(E1091:G1091)</f>
        <v>0</v>
      </c>
      <c r="D1091" s="120">
        <v>0</v>
      </c>
      <c r="E1091" s="120">
        <v>0</v>
      </c>
      <c r="F1091" s="120">
        <v>0</v>
      </c>
      <c r="G1091" s="120">
        <v>0</v>
      </c>
      <c r="H1091" s="28">
        <f t="shared" si="272"/>
        <v>0</v>
      </c>
      <c r="I1091" s="120">
        <v>0</v>
      </c>
      <c r="J1091" s="120">
        <v>0</v>
      </c>
      <c r="K1091" s="120">
        <v>0</v>
      </c>
      <c r="L1091" s="454"/>
      <c r="M1091" s="454"/>
      <c r="N1091" s="304"/>
      <c r="O1091" s="304"/>
    </row>
    <row r="1092" spans="1:15" ht="15" customHeight="1">
      <c r="A1092" s="299" t="s">
        <v>46</v>
      </c>
      <c r="B1092" s="299"/>
      <c r="C1092" s="112">
        <f>SUM(D1092:K1092)</f>
        <v>264.7</v>
      </c>
      <c r="D1092" s="120">
        <v>26.7</v>
      </c>
      <c r="E1092" s="120">
        <v>28</v>
      </c>
      <c r="F1092" s="120">
        <v>30</v>
      </c>
      <c r="G1092" s="120">
        <v>0</v>
      </c>
      <c r="H1092" s="28">
        <f t="shared" si="272"/>
        <v>90</v>
      </c>
      <c r="I1092" s="120">
        <v>30</v>
      </c>
      <c r="J1092" s="120">
        <v>30</v>
      </c>
      <c r="K1092" s="120">
        <v>30</v>
      </c>
      <c r="L1092" s="454"/>
      <c r="M1092" s="454"/>
      <c r="N1092" s="304"/>
      <c r="O1092" s="304"/>
    </row>
    <row r="1093" spans="1:15" ht="16.5" customHeight="1">
      <c r="A1093" s="299" t="s">
        <v>47</v>
      </c>
      <c r="B1093" s="299"/>
      <c r="C1093" s="111">
        <f>SUM(E1093:G1093)</f>
        <v>0</v>
      </c>
      <c r="D1093" s="120">
        <v>0</v>
      </c>
      <c r="E1093" s="120">
        <v>0</v>
      </c>
      <c r="F1093" s="120">
        <v>0</v>
      </c>
      <c r="G1093" s="120">
        <v>0</v>
      </c>
      <c r="H1093" s="28">
        <f t="shared" si="272"/>
        <v>0</v>
      </c>
      <c r="I1093" s="120">
        <v>0</v>
      </c>
      <c r="J1093" s="120">
        <v>0</v>
      </c>
      <c r="K1093" s="120">
        <v>0</v>
      </c>
      <c r="L1093" s="454"/>
      <c r="M1093" s="454"/>
      <c r="N1093" s="304"/>
      <c r="O1093" s="304"/>
    </row>
    <row r="1094" spans="1:15" ht="15" customHeight="1">
      <c r="A1094" s="299" t="s">
        <v>48</v>
      </c>
      <c r="B1094" s="299"/>
      <c r="C1094" s="111">
        <f>SUM(E1094:G1094)</f>
        <v>0</v>
      </c>
      <c r="D1094" s="120">
        <v>0</v>
      </c>
      <c r="E1094" s="120">
        <v>0</v>
      </c>
      <c r="F1094" s="120">
        <v>0</v>
      </c>
      <c r="G1094" s="120">
        <v>0</v>
      </c>
      <c r="H1094" s="28">
        <f t="shared" si="272"/>
        <v>0</v>
      </c>
      <c r="I1094" s="120">
        <v>0</v>
      </c>
      <c r="J1094" s="120">
        <v>0</v>
      </c>
      <c r="K1094" s="120">
        <v>0</v>
      </c>
      <c r="L1094" s="454"/>
      <c r="M1094" s="454"/>
      <c r="N1094" s="304"/>
      <c r="O1094" s="304"/>
    </row>
    <row r="1095" spans="1:15" ht="15" customHeight="1">
      <c r="A1095" s="299" t="s">
        <v>49</v>
      </c>
      <c r="B1095" s="299"/>
      <c r="C1095" s="111">
        <f>SUM(E1095:G1095)</f>
        <v>0</v>
      </c>
      <c r="D1095" s="120">
        <v>0</v>
      </c>
      <c r="E1095" s="120">
        <v>0</v>
      </c>
      <c r="F1095" s="120">
        <v>0</v>
      </c>
      <c r="G1095" s="120">
        <v>0</v>
      </c>
      <c r="H1095" s="28">
        <f t="shared" si="272"/>
        <v>0</v>
      </c>
      <c r="I1095" s="120">
        <v>0</v>
      </c>
      <c r="J1095" s="120">
        <v>0</v>
      </c>
      <c r="K1095" s="120">
        <v>0</v>
      </c>
      <c r="L1095" s="454"/>
      <c r="M1095" s="454"/>
      <c r="N1095" s="305"/>
      <c r="O1095" s="305"/>
    </row>
    <row r="1096" spans="1:15" ht="19.5" customHeight="1">
      <c r="A1096" s="340" t="s">
        <v>327</v>
      </c>
      <c r="B1096" s="341"/>
      <c r="C1096" s="189"/>
      <c r="D1096" s="189"/>
      <c r="E1096" s="189"/>
      <c r="F1096" s="189"/>
      <c r="G1096" s="189"/>
      <c r="H1096" s="28"/>
      <c r="I1096" s="189"/>
      <c r="J1096" s="189"/>
      <c r="K1096" s="189"/>
      <c r="L1096" s="454" t="s">
        <v>224</v>
      </c>
      <c r="M1096" s="454"/>
      <c r="N1096" s="452"/>
      <c r="O1096" s="452"/>
    </row>
    <row r="1097" spans="1:15" ht="15" customHeight="1">
      <c r="A1097" s="299" t="s">
        <v>52</v>
      </c>
      <c r="B1097" s="299"/>
      <c r="C1097" s="111">
        <f aca="true" t="shared" si="286" ref="C1097:C1102">SUM(E1097:G1097)</f>
        <v>0</v>
      </c>
      <c r="D1097" s="120">
        <f>SUM(D1098:D1102)</f>
        <v>1150</v>
      </c>
      <c r="E1097" s="120">
        <f>SUM(E1098:E1102)</f>
        <v>0</v>
      </c>
      <c r="F1097" s="120">
        <f>SUM(F1098:F1102)</f>
        <v>0</v>
      </c>
      <c r="G1097" s="126">
        <v>0</v>
      </c>
      <c r="H1097" s="28">
        <f t="shared" si="272"/>
        <v>0</v>
      </c>
      <c r="I1097" s="120">
        <v>0</v>
      </c>
      <c r="J1097" s="120">
        <v>0</v>
      </c>
      <c r="K1097" s="120">
        <v>0</v>
      </c>
      <c r="L1097" s="454"/>
      <c r="M1097" s="454"/>
      <c r="N1097" s="452"/>
      <c r="O1097" s="452"/>
    </row>
    <row r="1098" spans="1:15" ht="15" customHeight="1">
      <c r="A1098" s="299" t="s">
        <v>45</v>
      </c>
      <c r="B1098" s="299"/>
      <c r="C1098" s="111">
        <f t="shared" si="286"/>
        <v>0</v>
      </c>
      <c r="D1098" s="120">
        <v>0</v>
      </c>
      <c r="E1098" s="118">
        <v>0</v>
      </c>
      <c r="F1098" s="118">
        <v>0</v>
      </c>
      <c r="G1098" s="126">
        <v>0</v>
      </c>
      <c r="H1098" s="28">
        <f t="shared" si="272"/>
        <v>0</v>
      </c>
      <c r="I1098" s="120">
        <v>0</v>
      </c>
      <c r="J1098" s="120">
        <v>0</v>
      </c>
      <c r="K1098" s="120">
        <v>0</v>
      </c>
      <c r="L1098" s="454"/>
      <c r="M1098" s="454"/>
      <c r="N1098" s="452"/>
      <c r="O1098" s="452"/>
    </row>
    <row r="1099" spans="1:15" ht="15" customHeight="1">
      <c r="A1099" s="299" t="s">
        <v>46</v>
      </c>
      <c r="B1099" s="299"/>
      <c r="C1099" s="111">
        <f t="shared" si="286"/>
        <v>0</v>
      </c>
      <c r="D1099" s="120">
        <f>2000-850</f>
        <v>1150</v>
      </c>
      <c r="E1099" s="120">
        <v>0</v>
      </c>
      <c r="F1099" s="120">
        <v>0</v>
      </c>
      <c r="G1099" s="126">
        <v>0</v>
      </c>
      <c r="H1099" s="28">
        <f t="shared" si="272"/>
        <v>0</v>
      </c>
      <c r="I1099" s="120">
        <v>0</v>
      </c>
      <c r="J1099" s="120">
        <v>0</v>
      </c>
      <c r="K1099" s="120">
        <v>0</v>
      </c>
      <c r="L1099" s="454"/>
      <c r="M1099" s="454"/>
      <c r="N1099" s="452"/>
      <c r="O1099" s="452"/>
    </row>
    <row r="1100" spans="1:15" ht="15" customHeight="1">
      <c r="A1100" s="299" t="s">
        <v>47</v>
      </c>
      <c r="B1100" s="299"/>
      <c r="C1100" s="111">
        <f t="shared" si="286"/>
        <v>0</v>
      </c>
      <c r="D1100" s="120">
        <v>0</v>
      </c>
      <c r="E1100" s="120">
        <v>0</v>
      </c>
      <c r="F1100" s="120">
        <v>0</v>
      </c>
      <c r="G1100" s="126">
        <v>0</v>
      </c>
      <c r="H1100" s="28">
        <f t="shared" si="272"/>
        <v>0</v>
      </c>
      <c r="I1100" s="120">
        <v>0</v>
      </c>
      <c r="J1100" s="120">
        <v>0</v>
      </c>
      <c r="K1100" s="120">
        <v>0</v>
      </c>
      <c r="L1100" s="454"/>
      <c r="M1100" s="454"/>
      <c r="N1100" s="452"/>
      <c r="O1100" s="452"/>
    </row>
    <row r="1101" spans="1:15" ht="15" customHeight="1">
      <c r="A1101" s="299" t="s">
        <v>48</v>
      </c>
      <c r="B1101" s="299"/>
      <c r="C1101" s="111">
        <f t="shared" si="286"/>
        <v>0</v>
      </c>
      <c r="D1101" s="120">
        <v>0</v>
      </c>
      <c r="E1101" s="120">
        <v>0</v>
      </c>
      <c r="F1101" s="120">
        <v>0</v>
      </c>
      <c r="G1101" s="126">
        <v>0</v>
      </c>
      <c r="H1101" s="28">
        <f t="shared" si="272"/>
        <v>0</v>
      </c>
      <c r="I1101" s="120">
        <v>0</v>
      </c>
      <c r="J1101" s="120">
        <v>0</v>
      </c>
      <c r="K1101" s="120">
        <v>0</v>
      </c>
      <c r="L1101" s="454"/>
      <c r="M1101" s="454"/>
      <c r="N1101" s="452"/>
      <c r="O1101" s="452"/>
    </row>
    <row r="1102" spans="1:15" ht="18.75" customHeight="1">
      <c r="A1102" s="299" t="s">
        <v>49</v>
      </c>
      <c r="B1102" s="299"/>
      <c r="C1102" s="111">
        <f t="shared" si="286"/>
        <v>0</v>
      </c>
      <c r="D1102" s="120">
        <v>0</v>
      </c>
      <c r="E1102" s="120">
        <v>0</v>
      </c>
      <c r="F1102" s="120">
        <v>0</v>
      </c>
      <c r="G1102" s="126">
        <v>0</v>
      </c>
      <c r="H1102" s="28">
        <f t="shared" si="272"/>
        <v>0</v>
      </c>
      <c r="I1102" s="120">
        <v>0</v>
      </c>
      <c r="J1102" s="120">
        <v>0</v>
      </c>
      <c r="K1102" s="120">
        <v>0</v>
      </c>
      <c r="L1102" s="454"/>
      <c r="M1102" s="454"/>
      <c r="N1102" s="452"/>
      <c r="O1102" s="452"/>
    </row>
    <row r="1103" spans="1:15" ht="52.5" customHeight="1">
      <c r="A1103" s="455" t="s">
        <v>332</v>
      </c>
      <c r="B1103" s="457"/>
      <c r="C1103" s="189"/>
      <c r="D1103" s="189"/>
      <c r="E1103" s="189"/>
      <c r="F1103" s="189"/>
      <c r="G1103" s="189"/>
      <c r="H1103" s="28"/>
      <c r="I1103" s="189"/>
      <c r="J1103" s="189"/>
      <c r="K1103" s="189"/>
      <c r="L1103" s="454"/>
      <c r="M1103" s="454"/>
      <c r="N1103" s="452">
        <v>2014</v>
      </c>
      <c r="O1103" s="452">
        <v>2020</v>
      </c>
    </row>
    <row r="1104" spans="1:15" ht="15" customHeight="1">
      <c r="A1104" s="299" t="s">
        <v>52</v>
      </c>
      <c r="B1104" s="299"/>
      <c r="C1104" s="120">
        <f aca="true" t="shared" si="287" ref="C1104:K1104">C1105+C1106+C1109+C1110+C1111</f>
        <v>2476295.6312500006</v>
      </c>
      <c r="D1104" s="120">
        <f t="shared" si="287"/>
        <v>188356.99000000002</v>
      </c>
      <c r="E1104" s="120">
        <f t="shared" si="287"/>
        <v>210877.59913</v>
      </c>
      <c r="F1104" s="120">
        <f t="shared" si="287"/>
        <v>234184.44578</v>
      </c>
      <c r="G1104" s="120">
        <f>G1105+G1106+G1109+G1110+G1111</f>
        <v>256046.03395999997</v>
      </c>
      <c r="H1104" s="28">
        <f t="shared" si="272"/>
        <v>793415.2811899999</v>
      </c>
      <c r="I1104" s="120">
        <f>I1105+I1106+I1109+I1110+I1111</f>
        <v>264106.77499</v>
      </c>
      <c r="J1104" s="120">
        <f>J1105+J1106+J1109+J1110+J1111</f>
        <v>264620.02009999997</v>
      </c>
      <c r="K1104" s="120">
        <f t="shared" si="287"/>
        <v>264688.4861</v>
      </c>
      <c r="L1104" s="454"/>
      <c r="M1104" s="454"/>
      <c r="N1104" s="452"/>
      <c r="O1104" s="452"/>
    </row>
    <row r="1105" spans="1:15" ht="15" customHeight="1">
      <c r="A1105" s="299" t="s">
        <v>45</v>
      </c>
      <c r="B1105" s="299"/>
      <c r="C1105" s="111">
        <f>SUM(E1105:G1105)</f>
        <v>0</v>
      </c>
      <c r="D1105" s="120">
        <f aca="true" t="shared" si="288" ref="D1105:K1105">D1114+D1121+D1128+D1135+D1142+D1151+D1158+D1165+D1172</f>
        <v>0</v>
      </c>
      <c r="E1105" s="120">
        <f t="shared" si="288"/>
        <v>0</v>
      </c>
      <c r="F1105" s="120">
        <f t="shared" si="288"/>
        <v>0</v>
      </c>
      <c r="G1105" s="120">
        <f>G1114+G1121+G1128+G1135+G1142+G1151+G1158+G1165+G1172</f>
        <v>0</v>
      </c>
      <c r="H1105" s="28">
        <f t="shared" si="272"/>
        <v>0</v>
      </c>
      <c r="I1105" s="120">
        <f>I1114+I1121+I1128+I1135+I1142+I1151+I1158+I1165+I1172</f>
        <v>0</v>
      </c>
      <c r="J1105" s="120">
        <f>J1114+J1121+J1128+J1135+J1142+J1151+J1158+J1165+J1172</f>
        <v>0</v>
      </c>
      <c r="K1105" s="120">
        <f t="shared" si="288"/>
        <v>0</v>
      </c>
      <c r="L1105" s="454"/>
      <c r="M1105" s="454"/>
      <c r="N1105" s="452"/>
      <c r="O1105" s="452"/>
    </row>
    <row r="1106" spans="1:15" ht="15" customHeight="1">
      <c r="A1106" s="299" t="s">
        <v>46</v>
      </c>
      <c r="B1106" s="299"/>
      <c r="C1106" s="114">
        <f>SUM(D1106:K1106)</f>
        <v>2193489.1082500005</v>
      </c>
      <c r="D1106" s="119">
        <f aca="true" t="shared" si="289" ref="D1106:K1106">SUM(D1107:D1108)</f>
        <v>169298.17</v>
      </c>
      <c r="E1106" s="119">
        <f t="shared" si="289"/>
        <v>190853.69913</v>
      </c>
      <c r="F1106" s="119">
        <f t="shared" si="289"/>
        <v>214160.54578000001</v>
      </c>
      <c r="G1106" s="119">
        <f t="shared" si="289"/>
        <v>212846.95096</v>
      </c>
      <c r="H1106" s="28">
        <f t="shared" si="272"/>
        <v>703164.87119</v>
      </c>
      <c r="I1106" s="119">
        <f t="shared" si="289"/>
        <v>234023.30499</v>
      </c>
      <c r="J1106" s="119">
        <f t="shared" si="289"/>
        <v>234536.5501</v>
      </c>
      <c r="K1106" s="119">
        <f t="shared" si="289"/>
        <v>234605.0161</v>
      </c>
      <c r="L1106" s="454"/>
      <c r="M1106" s="454"/>
      <c r="N1106" s="452"/>
      <c r="O1106" s="452"/>
    </row>
    <row r="1107" spans="1:15" ht="15" customHeight="1">
      <c r="A1107" s="299" t="s">
        <v>46</v>
      </c>
      <c r="B1107" s="299"/>
      <c r="C1107" s="112">
        <f>SUM(D1107:K1107)</f>
        <v>1775292.65243</v>
      </c>
      <c r="D1107" s="120">
        <f>D1129+D1136+D1145</f>
        <v>65572.89</v>
      </c>
      <c r="E1107" s="120">
        <f>E1129+E1136+E1145</f>
        <v>71935.36609</v>
      </c>
      <c r="F1107" s="120">
        <f>F1129+F1136+F1145</f>
        <v>89332.105</v>
      </c>
      <c r="G1107" s="120">
        <f>212846.95096-G1108</f>
        <v>185290.25696</v>
      </c>
      <c r="H1107" s="28">
        <f t="shared" si="272"/>
        <v>681581.01719</v>
      </c>
      <c r="I1107" s="120">
        <f>I1115+I1122+I1129+I1136+I1145+I1152+I1159+I1173+I1180+I1187</f>
        <v>213009.25099</v>
      </c>
      <c r="J1107" s="120">
        <f>J1115+J1122+J1129+J1136+J1145+J1152+J1159+J1173+J1180+J1187</f>
        <v>234251.6501</v>
      </c>
      <c r="K1107" s="120">
        <f>K1115+K1122+K1129+K1136+K1145+K1152+K1159+K1173+K1180+K1187</f>
        <v>234320.1161</v>
      </c>
      <c r="L1107" s="454"/>
      <c r="M1107" s="454"/>
      <c r="N1107" s="452"/>
      <c r="O1107" s="452"/>
    </row>
    <row r="1108" spans="1:15" ht="15" customHeight="1">
      <c r="A1108" s="299" t="s">
        <v>46</v>
      </c>
      <c r="B1108" s="299"/>
      <c r="C1108" s="112">
        <f>SUM(D1108:K1108)</f>
        <v>418196.4558200001</v>
      </c>
      <c r="D1108" s="120">
        <f>D1115+D1122+D1144+D1152+D1159+D1166+D1173</f>
        <v>103725.28000000001</v>
      </c>
      <c r="E1108" s="120">
        <f>E1115+E1122+E1144+E1152+E1159+E1166+E1173</f>
        <v>118918.33304</v>
      </c>
      <c r="F1108" s="120">
        <f>F1115+F1122+F1144+F1152+F1159+F1166+F1173</f>
        <v>124828.44078000002</v>
      </c>
      <c r="G1108" s="120">
        <v>27556.694</v>
      </c>
      <c r="H1108" s="28">
        <f t="shared" si="272"/>
        <v>21583.854000000003</v>
      </c>
      <c r="I1108" s="120">
        <f>I1144+I1166</f>
        <v>21014.054</v>
      </c>
      <c r="J1108" s="120">
        <f>J1144+J1166</f>
        <v>284.9</v>
      </c>
      <c r="K1108" s="120">
        <f>K1144+K1166</f>
        <v>284.9</v>
      </c>
      <c r="L1108" s="454"/>
      <c r="M1108" s="454"/>
      <c r="N1108" s="452"/>
      <c r="O1108" s="452"/>
    </row>
    <row r="1109" spans="1:15" ht="15" customHeight="1">
      <c r="A1109" s="299" t="s">
        <v>47</v>
      </c>
      <c r="B1109" s="299"/>
      <c r="C1109" s="112">
        <f>SUM(D1109:K1109)</f>
        <v>282806.52300000004</v>
      </c>
      <c r="D1109" s="120">
        <f aca="true" t="shared" si="290" ref="D1109:F1111">D1116+D1123+D1130+D1137+D1146+D1153+D1160+D1167+D1174</f>
        <v>19058.82</v>
      </c>
      <c r="E1109" s="120">
        <f t="shared" si="290"/>
        <v>20023.9</v>
      </c>
      <c r="F1109" s="120">
        <f t="shared" si="290"/>
        <v>20023.9</v>
      </c>
      <c r="G1109" s="120">
        <f aca="true" t="shared" si="291" ref="G1109:K1111">G1116+G1123+G1130+G1137+G1146+G1153+G1160+G1167+G1174</f>
        <v>43199.083</v>
      </c>
      <c r="H1109" s="28">
        <f t="shared" si="272"/>
        <v>90250.41</v>
      </c>
      <c r="I1109" s="120">
        <f t="shared" si="291"/>
        <v>30083.47</v>
      </c>
      <c r="J1109" s="120">
        <f t="shared" si="291"/>
        <v>30083.47</v>
      </c>
      <c r="K1109" s="120">
        <f t="shared" si="291"/>
        <v>30083.47</v>
      </c>
      <c r="L1109" s="454"/>
      <c r="M1109" s="454"/>
      <c r="N1109" s="452"/>
      <c r="O1109" s="452"/>
    </row>
    <row r="1110" spans="1:15" ht="15" customHeight="1">
      <c r="A1110" s="299" t="s">
        <v>48</v>
      </c>
      <c r="B1110" s="299"/>
      <c r="C1110" s="111">
        <f>SUM(E1110:G1110)</f>
        <v>0</v>
      </c>
      <c r="D1110" s="120">
        <f t="shared" si="290"/>
        <v>0</v>
      </c>
      <c r="E1110" s="120">
        <f t="shared" si="290"/>
        <v>0</v>
      </c>
      <c r="F1110" s="120">
        <f t="shared" si="290"/>
        <v>0</v>
      </c>
      <c r="G1110" s="120">
        <f t="shared" si="291"/>
        <v>0</v>
      </c>
      <c r="H1110" s="28">
        <f t="shared" si="272"/>
        <v>0</v>
      </c>
      <c r="I1110" s="120">
        <f t="shared" si="291"/>
        <v>0</v>
      </c>
      <c r="J1110" s="120">
        <f t="shared" si="291"/>
        <v>0</v>
      </c>
      <c r="K1110" s="120">
        <f>K1117+K1124+K1131+K1138+K1147+K1154+K1161+K1168+K1175</f>
        <v>0</v>
      </c>
      <c r="L1110" s="454"/>
      <c r="M1110" s="454"/>
      <c r="N1110" s="452"/>
      <c r="O1110" s="452"/>
    </row>
    <row r="1111" spans="1:15" ht="15" customHeight="1">
      <c r="A1111" s="299" t="s">
        <v>49</v>
      </c>
      <c r="B1111" s="299"/>
      <c r="C1111" s="111">
        <f>SUM(E1111:G1111)</f>
        <v>0</v>
      </c>
      <c r="D1111" s="120">
        <f t="shared" si="290"/>
        <v>0</v>
      </c>
      <c r="E1111" s="120">
        <f t="shared" si="290"/>
        <v>0</v>
      </c>
      <c r="F1111" s="120">
        <f t="shared" si="290"/>
        <v>0</v>
      </c>
      <c r="G1111" s="120">
        <f t="shared" si="291"/>
        <v>0</v>
      </c>
      <c r="H1111" s="28">
        <f t="shared" si="272"/>
        <v>0</v>
      </c>
      <c r="I1111" s="120">
        <f t="shared" si="291"/>
        <v>0</v>
      </c>
      <c r="J1111" s="120">
        <f t="shared" si="291"/>
        <v>0</v>
      </c>
      <c r="K1111" s="120">
        <f>K1118+K1125+K1132+K1139+K1148+K1155+K1162+K1169+K1176</f>
        <v>0</v>
      </c>
      <c r="L1111" s="454"/>
      <c r="M1111" s="454"/>
      <c r="N1111" s="452"/>
      <c r="O1111" s="452"/>
    </row>
    <row r="1112" spans="1:15" ht="78.75" customHeight="1">
      <c r="A1112" s="340" t="s">
        <v>328</v>
      </c>
      <c r="B1112" s="341"/>
      <c r="C1112" s="191"/>
      <c r="D1112" s="191"/>
      <c r="E1112" s="191"/>
      <c r="F1112" s="191"/>
      <c r="G1112" s="191"/>
      <c r="H1112" s="28"/>
      <c r="I1112" s="191"/>
      <c r="J1112" s="191"/>
      <c r="K1112" s="191"/>
      <c r="L1112" s="454" t="s">
        <v>224</v>
      </c>
      <c r="M1112" s="454"/>
      <c r="N1112" s="303" t="s">
        <v>315</v>
      </c>
      <c r="O1112" s="303" t="s">
        <v>251</v>
      </c>
    </row>
    <row r="1113" spans="1:15" ht="15" customHeight="1">
      <c r="A1113" s="299" t="s">
        <v>52</v>
      </c>
      <c r="B1113" s="299"/>
      <c r="C1113" s="120">
        <f aca="true" t="shared" si="292" ref="C1113:K1113">SUM(C1114:C1118)</f>
        <v>912527.4015</v>
      </c>
      <c r="D1113" s="120">
        <f t="shared" si="292"/>
        <v>77275</v>
      </c>
      <c r="E1113" s="120">
        <f t="shared" si="292"/>
        <v>88428.99945</v>
      </c>
      <c r="F1113" s="120">
        <f t="shared" si="292"/>
        <v>91023.66</v>
      </c>
      <c r="G1113" s="120">
        <f>SUM(G1114:G1118)</f>
        <v>92880.94205</v>
      </c>
      <c r="H1113" s="28">
        <f t="shared" si="272"/>
        <v>281459.4</v>
      </c>
      <c r="I1113" s="120">
        <f>SUM(I1114:I1118)</f>
        <v>93459.4</v>
      </c>
      <c r="J1113" s="120">
        <f>SUM(J1114:J1118)</f>
        <v>94000</v>
      </c>
      <c r="K1113" s="120">
        <f t="shared" si="292"/>
        <v>94000</v>
      </c>
      <c r="L1113" s="454"/>
      <c r="M1113" s="454"/>
      <c r="N1113" s="304"/>
      <c r="O1113" s="304"/>
    </row>
    <row r="1114" spans="1:15" ht="15" customHeight="1">
      <c r="A1114" s="299" t="s">
        <v>45</v>
      </c>
      <c r="B1114" s="299"/>
      <c r="C1114" s="111">
        <f>SUM(E1114:G1114)</f>
        <v>0</v>
      </c>
      <c r="D1114" s="120">
        <v>0</v>
      </c>
      <c r="E1114" s="118">
        <v>0</v>
      </c>
      <c r="F1114" s="118">
        <v>0</v>
      </c>
      <c r="G1114" s="118">
        <v>0</v>
      </c>
      <c r="H1114" s="28">
        <f t="shared" si="272"/>
        <v>0</v>
      </c>
      <c r="I1114" s="118">
        <v>0</v>
      </c>
      <c r="J1114" s="118">
        <v>0</v>
      </c>
      <c r="K1114" s="120">
        <v>0</v>
      </c>
      <c r="L1114" s="454"/>
      <c r="M1114" s="454"/>
      <c r="N1114" s="304"/>
      <c r="O1114" s="304"/>
    </row>
    <row r="1115" spans="1:15" ht="15.75" customHeight="1">
      <c r="A1115" s="299" t="s">
        <v>46</v>
      </c>
      <c r="B1115" s="299"/>
      <c r="C1115" s="112">
        <f>SUM(D1115:K1115)</f>
        <v>912527.4015</v>
      </c>
      <c r="D1115" s="120">
        <v>77275</v>
      </c>
      <c r="E1115" s="123">
        <v>88428.99945</v>
      </c>
      <c r="F1115" s="120">
        <v>91023.66</v>
      </c>
      <c r="G1115" s="123">
        <v>92880.94205</v>
      </c>
      <c r="H1115" s="28">
        <f t="shared" si="272"/>
        <v>281459.4</v>
      </c>
      <c r="I1115" s="120">
        <v>93459.4</v>
      </c>
      <c r="J1115" s="120">
        <v>94000</v>
      </c>
      <c r="K1115" s="120">
        <v>94000</v>
      </c>
      <c r="L1115" s="454"/>
      <c r="M1115" s="454"/>
      <c r="N1115" s="304"/>
      <c r="O1115" s="304"/>
    </row>
    <row r="1116" spans="1:15" ht="15" customHeight="1">
      <c r="A1116" s="299" t="s">
        <v>47</v>
      </c>
      <c r="B1116" s="299"/>
      <c r="C1116" s="111">
        <f>SUM(E1116:G1116)</f>
        <v>0</v>
      </c>
      <c r="D1116" s="120">
        <v>0</v>
      </c>
      <c r="E1116" s="120">
        <v>0</v>
      </c>
      <c r="F1116" s="120">
        <v>0</v>
      </c>
      <c r="G1116" s="120">
        <v>0</v>
      </c>
      <c r="H1116" s="28">
        <f t="shared" si="272"/>
        <v>0</v>
      </c>
      <c r="I1116" s="120">
        <v>0</v>
      </c>
      <c r="J1116" s="120">
        <v>0</v>
      </c>
      <c r="K1116" s="120">
        <v>0</v>
      </c>
      <c r="L1116" s="454"/>
      <c r="M1116" s="454"/>
      <c r="N1116" s="304"/>
      <c r="O1116" s="304"/>
    </row>
    <row r="1117" spans="1:15" ht="15" customHeight="1">
      <c r="A1117" s="299" t="s">
        <v>48</v>
      </c>
      <c r="B1117" s="299"/>
      <c r="C1117" s="111">
        <f>SUM(E1117:G1117)</f>
        <v>0</v>
      </c>
      <c r="D1117" s="120">
        <v>0</v>
      </c>
      <c r="E1117" s="120">
        <v>0</v>
      </c>
      <c r="F1117" s="120">
        <v>0</v>
      </c>
      <c r="G1117" s="120">
        <v>0</v>
      </c>
      <c r="H1117" s="28">
        <f t="shared" si="272"/>
        <v>0</v>
      </c>
      <c r="I1117" s="120">
        <v>0</v>
      </c>
      <c r="J1117" s="120">
        <v>0</v>
      </c>
      <c r="K1117" s="120">
        <v>0</v>
      </c>
      <c r="L1117" s="454"/>
      <c r="M1117" s="454"/>
      <c r="N1117" s="304"/>
      <c r="O1117" s="304"/>
    </row>
    <row r="1118" spans="1:15" ht="15" customHeight="1">
      <c r="A1118" s="299" t="s">
        <v>49</v>
      </c>
      <c r="B1118" s="299"/>
      <c r="C1118" s="111">
        <f>SUM(E1118:G1118)</f>
        <v>0</v>
      </c>
      <c r="D1118" s="120">
        <v>0</v>
      </c>
      <c r="E1118" s="120">
        <v>0</v>
      </c>
      <c r="F1118" s="120">
        <v>0</v>
      </c>
      <c r="G1118" s="120">
        <v>0</v>
      </c>
      <c r="H1118" s="28">
        <f t="shared" si="272"/>
        <v>0</v>
      </c>
      <c r="I1118" s="120">
        <v>0</v>
      </c>
      <c r="J1118" s="120">
        <v>0</v>
      </c>
      <c r="K1118" s="120">
        <v>0</v>
      </c>
      <c r="L1118" s="454"/>
      <c r="M1118" s="454"/>
      <c r="N1118" s="305"/>
      <c r="O1118" s="305"/>
    </row>
    <row r="1119" spans="1:15" ht="75" customHeight="1">
      <c r="A1119" s="340" t="s">
        <v>329</v>
      </c>
      <c r="B1119" s="341"/>
      <c r="C1119" s="189"/>
      <c r="D1119" s="189"/>
      <c r="E1119" s="189"/>
      <c r="F1119" s="189"/>
      <c r="G1119" s="189"/>
      <c r="H1119" s="28"/>
      <c r="I1119" s="189"/>
      <c r="J1119" s="189"/>
      <c r="K1119" s="189"/>
      <c r="L1119" s="454" t="s">
        <v>224</v>
      </c>
      <c r="M1119" s="454"/>
      <c r="N1119" s="303" t="s">
        <v>315</v>
      </c>
      <c r="O1119" s="303" t="s">
        <v>251</v>
      </c>
    </row>
    <row r="1120" spans="1:15" ht="15" customHeight="1">
      <c r="A1120" s="299" t="s">
        <v>52</v>
      </c>
      <c r="B1120" s="299"/>
      <c r="C1120" s="120">
        <f aca="true" t="shared" si="293" ref="C1120:K1120">SUM(C1121:C1125)</f>
        <v>17280.522999999997</v>
      </c>
      <c r="D1120" s="120">
        <f t="shared" si="293"/>
        <v>881</v>
      </c>
      <c r="E1120" s="120">
        <f t="shared" si="293"/>
        <v>1332.84</v>
      </c>
      <c r="F1120" s="120">
        <f t="shared" si="293"/>
        <v>2285.535</v>
      </c>
      <c r="G1120" s="120">
        <f>SUM(G1121:G1125)</f>
        <v>2211.548</v>
      </c>
      <c r="H1120" s="28">
        <f t="shared" si="272"/>
        <v>5284.799999999999</v>
      </c>
      <c r="I1120" s="120">
        <f>SUM(I1121:I1125)</f>
        <v>1761.6</v>
      </c>
      <c r="J1120" s="120">
        <f>SUM(J1121:J1125)</f>
        <v>1761.6</v>
      </c>
      <c r="K1120" s="120">
        <f t="shared" si="293"/>
        <v>1761.6</v>
      </c>
      <c r="L1120" s="454"/>
      <c r="M1120" s="454"/>
      <c r="N1120" s="304"/>
      <c r="O1120" s="304"/>
    </row>
    <row r="1121" spans="1:15" ht="15" customHeight="1">
      <c r="A1121" s="299" t="s">
        <v>45</v>
      </c>
      <c r="B1121" s="299"/>
      <c r="C1121" s="111">
        <f>SUM(E1121:G1121)</f>
        <v>0</v>
      </c>
      <c r="D1121" s="120">
        <v>0</v>
      </c>
      <c r="E1121" s="118">
        <v>0</v>
      </c>
      <c r="F1121" s="118">
        <v>0</v>
      </c>
      <c r="G1121" s="118">
        <v>0</v>
      </c>
      <c r="H1121" s="28">
        <f t="shared" si="272"/>
        <v>0</v>
      </c>
      <c r="I1121" s="118">
        <v>0</v>
      </c>
      <c r="J1121" s="118">
        <v>0</v>
      </c>
      <c r="K1121" s="120">
        <v>0</v>
      </c>
      <c r="L1121" s="454"/>
      <c r="M1121" s="454"/>
      <c r="N1121" s="304"/>
      <c r="O1121" s="304"/>
    </row>
    <row r="1122" spans="1:15" ht="24.75" customHeight="1">
      <c r="A1122" s="299" t="s">
        <v>46</v>
      </c>
      <c r="B1122" s="299"/>
      <c r="C1122" s="112">
        <f>SUM(D1122:K1122)</f>
        <v>17280.522999999997</v>
      </c>
      <c r="D1122" s="120">
        <v>881</v>
      </c>
      <c r="E1122" s="124">
        <v>1332.84</v>
      </c>
      <c r="F1122" s="120">
        <v>2285.535</v>
      </c>
      <c r="G1122" s="120">
        <v>2211.548</v>
      </c>
      <c r="H1122" s="28">
        <f t="shared" si="272"/>
        <v>5284.799999999999</v>
      </c>
      <c r="I1122" s="120">
        <v>1761.6</v>
      </c>
      <c r="J1122" s="120">
        <v>1761.6</v>
      </c>
      <c r="K1122" s="120">
        <v>1761.6</v>
      </c>
      <c r="L1122" s="454"/>
      <c r="M1122" s="454"/>
      <c r="N1122" s="304"/>
      <c r="O1122" s="304"/>
    </row>
    <row r="1123" spans="1:15" ht="15" customHeight="1">
      <c r="A1123" s="299" t="s">
        <v>47</v>
      </c>
      <c r="B1123" s="299"/>
      <c r="C1123" s="111">
        <f>SUM(E1123:G1123)</f>
        <v>0</v>
      </c>
      <c r="D1123" s="120">
        <v>0</v>
      </c>
      <c r="E1123" s="120">
        <v>0</v>
      </c>
      <c r="F1123" s="120">
        <v>0</v>
      </c>
      <c r="G1123" s="120">
        <v>0</v>
      </c>
      <c r="H1123" s="28">
        <f t="shared" si="272"/>
        <v>0</v>
      </c>
      <c r="I1123" s="120">
        <v>0</v>
      </c>
      <c r="J1123" s="120">
        <v>0</v>
      </c>
      <c r="K1123" s="120">
        <v>0</v>
      </c>
      <c r="L1123" s="454"/>
      <c r="M1123" s="454"/>
      <c r="N1123" s="304"/>
      <c r="O1123" s="304"/>
    </row>
    <row r="1124" spans="1:15" ht="15" customHeight="1">
      <c r="A1124" s="299" t="s">
        <v>48</v>
      </c>
      <c r="B1124" s="299"/>
      <c r="C1124" s="111">
        <f>SUM(E1124:G1124)</f>
        <v>0</v>
      </c>
      <c r="D1124" s="120">
        <v>0</v>
      </c>
      <c r="E1124" s="120">
        <v>0</v>
      </c>
      <c r="F1124" s="120">
        <v>0</v>
      </c>
      <c r="G1124" s="120">
        <v>0</v>
      </c>
      <c r="H1124" s="28">
        <f t="shared" si="272"/>
        <v>0</v>
      </c>
      <c r="I1124" s="120">
        <v>0</v>
      </c>
      <c r="J1124" s="120">
        <v>0</v>
      </c>
      <c r="K1124" s="120">
        <v>0</v>
      </c>
      <c r="L1124" s="454"/>
      <c r="M1124" s="454"/>
      <c r="N1124" s="304"/>
      <c r="O1124" s="304"/>
    </row>
    <row r="1125" spans="1:15" ht="15" customHeight="1">
      <c r="A1125" s="299" t="s">
        <v>49</v>
      </c>
      <c r="B1125" s="299"/>
      <c r="C1125" s="111">
        <f>SUM(E1125:G1125)</f>
        <v>0</v>
      </c>
      <c r="D1125" s="120">
        <v>0</v>
      </c>
      <c r="E1125" s="120">
        <v>0</v>
      </c>
      <c r="F1125" s="120">
        <v>0</v>
      </c>
      <c r="G1125" s="120">
        <v>0</v>
      </c>
      <c r="H1125" s="28">
        <f t="shared" si="272"/>
        <v>0</v>
      </c>
      <c r="I1125" s="120">
        <v>0</v>
      </c>
      <c r="J1125" s="120">
        <v>0</v>
      </c>
      <c r="K1125" s="120">
        <v>0</v>
      </c>
      <c r="L1125" s="454"/>
      <c r="M1125" s="454"/>
      <c r="N1125" s="305"/>
      <c r="O1125" s="305"/>
    </row>
    <row r="1126" spans="1:15" ht="66" customHeight="1">
      <c r="A1126" s="340" t="s">
        <v>330</v>
      </c>
      <c r="B1126" s="341"/>
      <c r="C1126" s="189"/>
      <c r="D1126" s="189"/>
      <c r="E1126" s="189"/>
      <c r="F1126" s="189"/>
      <c r="G1126" s="189"/>
      <c r="H1126" s="28"/>
      <c r="I1126" s="189"/>
      <c r="J1126" s="189"/>
      <c r="K1126" s="189"/>
      <c r="L1126" s="454" t="s">
        <v>224</v>
      </c>
      <c r="M1126" s="460"/>
      <c r="N1126" s="303" t="s">
        <v>315</v>
      </c>
      <c r="O1126" s="303" t="s">
        <v>251</v>
      </c>
    </row>
    <row r="1127" spans="1:15" ht="15" customHeight="1">
      <c r="A1127" s="299" t="s">
        <v>52</v>
      </c>
      <c r="B1127" s="299"/>
      <c r="C1127" s="120">
        <f>SUM(C1128:C1132)</f>
        <v>1089123.7349399999</v>
      </c>
      <c r="D1127" s="120">
        <f aca="true" t="shared" si="294" ref="D1127:K1127">SUM(D1128:D1132)</f>
        <v>79323.70999999999</v>
      </c>
      <c r="E1127" s="120">
        <f t="shared" si="294"/>
        <v>88059.26608999999</v>
      </c>
      <c r="F1127" s="120">
        <f t="shared" si="294"/>
        <v>102356.005</v>
      </c>
      <c r="G1127" s="120">
        <f>SUM(G1128:G1132)</f>
        <v>125137.59865</v>
      </c>
      <c r="H1127" s="28">
        <f t="shared" si="272"/>
        <v>347123.5776</v>
      </c>
      <c r="I1127" s="120">
        <f>SUM(I1128:I1132)</f>
        <v>115707.8592</v>
      </c>
      <c r="J1127" s="120">
        <f>SUM(J1128:J1132)</f>
        <v>115707.8592</v>
      </c>
      <c r="K1127" s="120">
        <f t="shared" si="294"/>
        <v>115707.8592</v>
      </c>
      <c r="L1127" s="454"/>
      <c r="M1127" s="460"/>
      <c r="N1127" s="304"/>
      <c r="O1127" s="304"/>
    </row>
    <row r="1128" spans="1:15" ht="15" customHeight="1">
      <c r="A1128" s="299" t="s">
        <v>45</v>
      </c>
      <c r="B1128" s="299"/>
      <c r="C1128" s="111">
        <f>SUM(E1128:G1128)</f>
        <v>0</v>
      </c>
      <c r="D1128" s="120">
        <v>0</v>
      </c>
      <c r="E1128" s="118">
        <v>0</v>
      </c>
      <c r="F1128" s="118">
        <v>0</v>
      </c>
      <c r="G1128" s="118">
        <v>0</v>
      </c>
      <c r="H1128" s="28">
        <f t="shared" si="272"/>
        <v>0</v>
      </c>
      <c r="I1128" s="118">
        <v>0</v>
      </c>
      <c r="J1128" s="118">
        <v>0</v>
      </c>
      <c r="K1128" s="120">
        <v>0</v>
      </c>
      <c r="L1128" s="454"/>
      <c r="M1128" s="460"/>
      <c r="N1128" s="304"/>
      <c r="O1128" s="304"/>
    </row>
    <row r="1129" spans="1:15" ht="16.5" customHeight="1">
      <c r="A1129" s="299" t="s">
        <v>46</v>
      </c>
      <c r="B1129" s="299"/>
      <c r="C1129" s="112">
        <f>SUM(D1129:K1129)</f>
        <v>806317.21194</v>
      </c>
      <c r="D1129" s="120">
        <v>60264.89</v>
      </c>
      <c r="E1129" s="124">
        <v>68035.36609</v>
      </c>
      <c r="F1129" s="120">
        <v>82332.105</v>
      </c>
      <c r="G1129" s="120">
        <v>81938.51565</v>
      </c>
      <c r="H1129" s="28">
        <f t="shared" si="272"/>
        <v>256873.16760000002</v>
      </c>
      <c r="I1129" s="120">
        <v>85624.3892</v>
      </c>
      <c r="J1129" s="120">
        <v>85624.3892</v>
      </c>
      <c r="K1129" s="120">
        <v>85624.3892</v>
      </c>
      <c r="L1129" s="454"/>
      <c r="M1129" s="460"/>
      <c r="N1129" s="304"/>
      <c r="O1129" s="304"/>
    </row>
    <row r="1130" spans="1:15" ht="15" customHeight="1">
      <c r="A1130" s="299" t="s">
        <v>47</v>
      </c>
      <c r="B1130" s="299"/>
      <c r="C1130" s="112">
        <f>SUM(D1130:K1130)</f>
        <v>282806.52300000004</v>
      </c>
      <c r="D1130" s="120">
        <v>19058.82</v>
      </c>
      <c r="E1130" s="120">
        <v>20023.9</v>
      </c>
      <c r="F1130" s="120">
        <v>20023.9</v>
      </c>
      <c r="G1130" s="120">
        <v>43199.083</v>
      </c>
      <c r="H1130" s="28">
        <f t="shared" si="272"/>
        <v>90250.41</v>
      </c>
      <c r="I1130" s="120">
        <v>30083.47</v>
      </c>
      <c r="J1130" s="120">
        <v>30083.47</v>
      </c>
      <c r="K1130" s="120">
        <v>30083.47</v>
      </c>
      <c r="L1130" s="454"/>
      <c r="M1130" s="460"/>
      <c r="N1130" s="304"/>
      <c r="O1130" s="304"/>
    </row>
    <row r="1131" spans="1:15" ht="15" customHeight="1">
      <c r="A1131" s="299" t="s">
        <v>48</v>
      </c>
      <c r="B1131" s="299"/>
      <c r="C1131" s="111">
        <f>SUM(E1131:G1131)</f>
        <v>0</v>
      </c>
      <c r="D1131" s="120">
        <v>0</v>
      </c>
      <c r="E1131" s="120">
        <v>0</v>
      </c>
      <c r="F1131" s="120">
        <v>0</v>
      </c>
      <c r="G1131" s="120">
        <v>0</v>
      </c>
      <c r="H1131" s="28">
        <f aca="true" t="shared" si="295" ref="H1131:H1190">I1131+J1131+K1131</f>
        <v>0</v>
      </c>
      <c r="I1131" s="120">
        <v>0</v>
      </c>
      <c r="J1131" s="120">
        <v>0</v>
      </c>
      <c r="K1131" s="120">
        <v>0</v>
      </c>
      <c r="L1131" s="454"/>
      <c r="M1131" s="460"/>
      <c r="N1131" s="304"/>
      <c r="O1131" s="304"/>
    </row>
    <row r="1132" spans="1:15" ht="15" customHeight="1">
      <c r="A1132" s="299" t="s">
        <v>49</v>
      </c>
      <c r="B1132" s="299"/>
      <c r="C1132" s="111">
        <f>SUM(E1132:G1132)</f>
        <v>0</v>
      </c>
      <c r="D1132" s="120">
        <v>0</v>
      </c>
      <c r="E1132" s="120">
        <v>0</v>
      </c>
      <c r="F1132" s="120">
        <v>0</v>
      </c>
      <c r="G1132" s="120">
        <v>0</v>
      </c>
      <c r="H1132" s="28">
        <f t="shared" si="295"/>
        <v>0</v>
      </c>
      <c r="I1132" s="120">
        <v>0</v>
      </c>
      <c r="J1132" s="120">
        <v>0</v>
      </c>
      <c r="K1132" s="120">
        <v>0</v>
      </c>
      <c r="L1132" s="454"/>
      <c r="M1132" s="460"/>
      <c r="N1132" s="305"/>
      <c r="O1132" s="305"/>
    </row>
    <row r="1133" spans="1:15" ht="15" customHeight="1">
      <c r="A1133" s="340" t="s">
        <v>331</v>
      </c>
      <c r="B1133" s="341"/>
      <c r="C1133" s="189"/>
      <c r="D1133" s="189"/>
      <c r="E1133" s="189"/>
      <c r="F1133" s="189"/>
      <c r="G1133" s="189"/>
      <c r="H1133" s="28"/>
      <c r="I1133" s="189"/>
      <c r="J1133" s="189"/>
      <c r="K1133" s="189"/>
      <c r="L1133" s="454" t="s">
        <v>224</v>
      </c>
      <c r="M1133" s="415"/>
      <c r="N1133" s="303" t="s">
        <v>315</v>
      </c>
      <c r="O1133" s="303" t="s">
        <v>251</v>
      </c>
    </row>
    <row r="1134" spans="1:15" ht="15" customHeight="1">
      <c r="A1134" s="299" t="s">
        <v>52</v>
      </c>
      <c r="B1134" s="299"/>
      <c r="C1134" s="120">
        <f aca="true" t="shared" si="296" ref="C1134:K1134">SUM(C1135:C1139)</f>
        <v>22609.83651</v>
      </c>
      <c r="D1134" s="120">
        <f t="shared" si="296"/>
        <v>2210</v>
      </c>
      <c r="E1134" s="120">
        <f t="shared" si="296"/>
        <v>900</v>
      </c>
      <c r="F1134" s="120">
        <f t="shared" si="296"/>
        <v>2500</v>
      </c>
      <c r="G1134" s="120">
        <f>SUM(G1135:G1139)</f>
        <v>1999.83651</v>
      </c>
      <c r="H1134" s="28">
        <f t="shared" si="295"/>
        <v>7500</v>
      </c>
      <c r="I1134" s="120">
        <f>SUM(I1135:I1139)</f>
        <v>2500</v>
      </c>
      <c r="J1134" s="120">
        <f>SUM(J1135:J1139)</f>
        <v>2500</v>
      </c>
      <c r="K1134" s="120">
        <f t="shared" si="296"/>
        <v>2500</v>
      </c>
      <c r="L1134" s="454"/>
      <c r="M1134" s="416"/>
      <c r="N1134" s="304"/>
      <c r="O1134" s="304"/>
    </row>
    <row r="1135" spans="1:15" ht="15" customHeight="1">
      <c r="A1135" s="299" t="s">
        <v>45</v>
      </c>
      <c r="B1135" s="299"/>
      <c r="C1135" s="111">
        <f>SUM(E1135:G1135)</f>
        <v>0</v>
      </c>
      <c r="D1135" s="120">
        <v>0</v>
      </c>
      <c r="E1135" s="118">
        <v>0</v>
      </c>
      <c r="F1135" s="118">
        <v>0</v>
      </c>
      <c r="G1135" s="118">
        <v>0</v>
      </c>
      <c r="H1135" s="28">
        <f t="shared" si="295"/>
        <v>0</v>
      </c>
      <c r="I1135" s="118">
        <v>0</v>
      </c>
      <c r="J1135" s="118">
        <v>0</v>
      </c>
      <c r="K1135" s="120">
        <v>0</v>
      </c>
      <c r="L1135" s="454"/>
      <c r="M1135" s="416"/>
      <c r="N1135" s="304"/>
      <c r="O1135" s="304"/>
    </row>
    <row r="1136" spans="1:15" ht="15" customHeight="1">
      <c r="A1136" s="299" t="s">
        <v>46</v>
      </c>
      <c r="B1136" s="299"/>
      <c r="C1136" s="112">
        <f>SUM(D1136:K1136)</f>
        <v>22609.83651</v>
      </c>
      <c r="D1136" s="120">
        <v>2210</v>
      </c>
      <c r="E1136" s="120">
        <v>900</v>
      </c>
      <c r="F1136" s="120">
        <v>2500</v>
      </c>
      <c r="G1136" s="120">
        <v>1999.83651</v>
      </c>
      <c r="H1136" s="28">
        <f t="shared" si="295"/>
        <v>7500</v>
      </c>
      <c r="I1136" s="120">
        <v>2500</v>
      </c>
      <c r="J1136" s="120">
        <v>2500</v>
      </c>
      <c r="K1136" s="120">
        <v>2500</v>
      </c>
      <c r="L1136" s="454"/>
      <c r="M1136" s="416"/>
      <c r="N1136" s="304"/>
      <c r="O1136" s="304"/>
    </row>
    <row r="1137" spans="1:15" ht="15" customHeight="1">
      <c r="A1137" s="299" t="s">
        <v>47</v>
      </c>
      <c r="B1137" s="299"/>
      <c r="C1137" s="111">
        <f>SUM(E1137:G1137)</f>
        <v>0</v>
      </c>
      <c r="D1137" s="120">
        <v>0</v>
      </c>
      <c r="E1137" s="120">
        <v>0</v>
      </c>
      <c r="F1137" s="120">
        <v>0</v>
      </c>
      <c r="G1137" s="120">
        <v>0</v>
      </c>
      <c r="H1137" s="28">
        <f t="shared" si="295"/>
        <v>0</v>
      </c>
      <c r="I1137" s="120">
        <v>0</v>
      </c>
      <c r="J1137" s="120">
        <v>0</v>
      </c>
      <c r="K1137" s="120">
        <v>0</v>
      </c>
      <c r="L1137" s="454"/>
      <c r="M1137" s="416"/>
      <c r="N1137" s="304"/>
      <c r="O1137" s="304"/>
    </row>
    <row r="1138" spans="1:15" ht="15" customHeight="1">
      <c r="A1138" s="299" t="s">
        <v>48</v>
      </c>
      <c r="B1138" s="299"/>
      <c r="C1138" s="111">
        <f>SUM(E1138:G1138)</f>
        <v>0</v>
      </c>
      <c r="D1138" s="120">
        <v>0</v>
      </c>
      <c r="E1138" s="120">
        <v>0</v>
      </c>
      <c r="F1138" s="120">
        <v>0</v>
      </c>
      <c r="G1138" s="120">
        <v>0</v>
      </c>
      <c r="H1138" s="28">
        <f t="shared" si="295"/>
        <v>0</v>
      </c>
      <c r="I1138" s="120">
        <v>0</v>
      </c>
      <c r="J1138" s="120">
        <v>0</v>
      </c>
      <c r="K1138" s="120">
        <v>0</v>
      </c>
      <c r="L1138" s="454"/>
      <c r="M1138" s="416"/>
      <c r="N1138" s="304"/>
      <c r="O1138" s="304"/>
    </row>
    <row r="1139" spans="1:15" ht="15.75" customHeight="1">
      <c r="A1139" s="299" t="s">
        <v>49</v>
      </c>
      <c r="B1139" s="299"/>
      <c r="C1139" s="111">
        <f>SUM(E1139:G1139)</f>
        <v>0</v>
      </c>
      <c r="D1139" s="120">
        <v>0</v>
      </c>
      <c r="E1139" s="120">
        <v>0</v>
      </c>
      <c r="F1139" s="120">
        <v>0</v>
      </c>
      <c r="G1139" s="120">
        <v>0</v>
      </c>
      <c r="H1139" s="28">
        <f t="shared" si="295"/>
        <v>0</v>
      </c>
      <c r="I1139" s="120">
        <v>0</v>
      </c>
      <c r="J1139" s="120">
        <v>0</v>
      </c>
      <c r="K1139" s="120">
        <v>0</v>
      </c>
      <c r="L1139" s="454"/>
      <c r="M1139" s="417"/>
      <c r="N1139" s="305"/>
      <c r="O1139" s="305"/>
    </row>
    <row r="1140" spans="1:15" ht="79.5" customHeight="1">
      <c r="A1140" s="340" t="s">
        <v>333</v>
      </c>
      <c r="B1140" s="341"/>
      <c r="C1140" s="189"/>
      <c r="D1140" s="189"/>
      <c r="E1140" s="189"/>
      <c r="F1140" s="189"/>
      <c r="G1140" s="189"/>
      <c r="H1140" s="28"/>
      <c r="I1140" s="189"/>
      <c r="J1140" s="189"/>
      <c r="K1140" s="189"/>
      <c r="L1140" s="454" t="s">
        <v>224</v>
      </c>
      <c r="M1140" s="454"/>
      <c r="N1140" s="453" t="s">
        <v>315</v>
      </c>
      <c r="O1140" s="453" t="s">
        <v>251</v>
      </c>
    </row>
    <row r="1141" spans="1:15" ht="15" customHeight="1">
      <c r="A1141" s="299" t="s">
        <v>52</v>
      </c>
      <c r="B1141" s="299"/>
      <c r="C1141" s="120">
        <f aca="true" t="shared" si="297" ref="C1141:K1141">C1142+C1143+C1146+C1147+C1148</f>
        <v>351731.91557</v>
      </c>
      <c r="D1141" s="120">
        <f t="shared" si="297"/>
        <v>28185.88</v>
      </c>
      <c r="E1141" s="120">
        <f t="shared" si="297"/>
        <v>31650.99359</v>
      </c>
      <c r="F1141" s="120">
        <f t="shared" si="297"/>
        <v>35450.46843</v>
      </c>
      <c r="G1141" s="120">
        <f>G1142+G1143+G1146+G1147+G1148</f>
        <v>33000.308750000004</v>
      </c>
      <c r="H1141" s="28">
        <f t="shared" si="295"/>
        <v>111722.1324</v>
      </c>
      <c r="I1141" s="120">
        <f>I1142+I1143+I1146+I1147+I1148</f>
        <v>37240.7108</v>
      </c>
      <c r="J1141" s="120">
        <f>J1142+J1143+J1146+J1147+J1148</f>
        <v>37240.7108</v>
      </c>
      <c r="K1141" s="120">
        <f t="shared" si="297"/>
        <v>37240.7108</v>
      </c>
      <c r="L1141" s="454"/>
      <c r="M1141" s="454"/>
      <c r="N1141" s="453"/>
      <c r="O1141" s="453"/>
    </row>
    <row r="1142" spans="1:15" ht="15" customHeight="1">
      <c r="A1142" s="299" t="s">
        <v>45</v>
      </c>
      <c r="B1142" s="299"/>
      <c r="C1142" s="111">
        <f aca="true" t="shared" si="298" ref="C1142:C1148">SUM(E1142:G1142)</f>
        <v>0</v>
      </c>
      <c r="D1142" s="120">
        <v>0</v>
      </c>
      <c r="E1142" s="118">
        <v>0</v>
      </c>
      <c r="F1142" s="118">
        <v>0</v>
      </c>
      <c r="G1142" s="118">
        <v>0</v>
      </c>
      <c r="H1142" s="28">
        <f t="shared" si="295"/>
        <v>0</v>
      </c>
      <c r="I1142" s="118">
        <v>0</v>
      </c>
      <c r="J1142" s="118">
        <v>0</v>
      </c>
      <c r="K1142" s="120">
        <v>0</v>
      </c>
      <c r="L1142" s="454"/>
      <c r="M1142" s="454"/>
      <c r="N1142" s="453"/>
      <c r="O1142" s="453"/>
    </row>
    <row r="1143" spans="1:15" ht="15" customHeight="1">
      <c r="A1143" s="299" t="s">
        <v>46</v>
      </c>
      <c r="B1143" s="299"/>
      <c r="C1143" s="112">
        <f>SUM(D1143:K1143)</f>
        <v>351731.91557</v>
      </c>
      <c r="D1143" s="120">
        <f aca="true" t="shared" si="299" ref="D1143:K1143">D1144+D1145</f>
        <v>28185.88</v>
      </c>
      <c r="E1143" s="120">
        <f t="shared" si="299"/>
        <v>31650.99359</v>
      </c>
      <c r="F1143" s="120">
        <f t="shared" si="299"/>
        <v>35450.46843</v>
      </c>
      <c r="G1143" s="120">
        <f>G1144+G1145</f>
        <v>33000.308750000004</v>
      </c>
      <c r="H1143" s="28">
        <f t="shared" si="295"/>
        <v>111722.1324</v>
      </c>
      <c r="I1143" s="120">
        <f>I1144+I1145</f>
        <v>37240.7108</v>
      </c>
      <c r="J1143" s="120">
        <f>J1144+J1145</f>
        <v>37240.7108</v>
      </c>
      <c r="K1143" s="120">
        <f t="shared" si="299"/>
        <v>37240.7108</v>
      </c>
      <c r="L1143" s="454"/>
      <c r="M1143" s="454"/>
      <c r="N1143" s="453"/>
      <c r="O1143" s="453"/>
    </row>
    <row r="1144" spans="1:15" ht="15" customHeight="1">
      <c r="A1144" s="299" t="s">
        <v>46</v>
      </c>
      <c r="B1144" s="299"/>
      <c r="C1144" s="112">
        <f>SUM(D1144:K1144)</f>
        <v>147549.10402</v>
      </c>
      <c r="D1144" s="120">
        <v>25087.88</v>
      </c>
      <c r="E1144" s="120">
        <v>28650.99359</v>
      </c>
      <c r="F1144" s="120">
        <v>30950.46843</v>
      </c>
      <c r="G1144" s="120">
        <v>21401.454</v>
      </c>
      <c r="H1144" s="28">
        <f t="shared" si="295"/>
        <v>20729.154</v>
      </c>
      <c r="I1144" s="120">
        <v>20729.154</v>
      </c>
      <c r="J1144" s="120">
        <v>0</v>
      </c>
      <c r="K1144" s="120">
        <v>0</v>
      </c>
      <c r="L1144" s="454"/>
      <c r="M1144" s="454"/>
      <c r="N1144" s="453"/>
      <c r="O1144" s="453"/>
    </row>
    <row r="1145" spans="1:15" ht="15" customHeight="1">
      <c r="A1145" s="299" t="s">
        <v>46</v>
      </c>
      <c r="B1145" s="299"/>
      <c r="C1145" s="112">
        <f>SUM(D1145:K1145)</f>
        <v>204182.81154999998</v>
      </c>
      <c r="D1145" s="120">
        <v>3098</v>
      </c>
      <c r="E1145" s="120">
        <v>3000</v>
      </c>
      <c r="F1145" s="120">
        <v>4500</v>
      </c>
      <c r="G1145" s="120">
        <v>11598.85475</v>
      </c>
      <c r="H1145" s="28">
        <f t="shared" si="295"/>
        <v>90992.97839999999</v>
      </c>
      <c r="I1145" s="120">
        <v>16511.5568</v>
      </c>
      <c r="J1145" s="120">
        <v>37240.7108</v>
      </c>
      <c r="K1145" s="120">
        <v>37240.7108</v>
      </c>
      <c r="L1145" s="454"/>
      <c r="M1145" s="454"/>
      <c r="N1145" s="453"/>
      <c r="O1145" s="453"/>
    </row>
    <row r="1146" spans="1:15" ht="16.5" customHeight="1">
      <c r="A1146" s="299" t="s">
        <v>47</v>
      </c>
      <c r="B1146" s="299"/>
      <c r="C1146" s="111">
        <f t="shared" si="298"/>
        <v>0</v>
      </c>
      <c r="D1146" s="120">
        <v>0</v>
      </c>
      <c r="E1146" s="120">
        <v>0</v>
      </c>
      <c r="F1146" s="120">
        <v>0</v>
      </c>
      <c r="G1146" s="120">
        <v>0</v>
      </c>
      <c r="H1146" s="28">
        <f t="shared" si="295"/>
        <v>0</v>
      </c>
      <c r="I1146" s="120">
        <v>0</v>
      </c>
      <c r="J1146" s="120">
        <v>0</v>
      </c>
      <c r="K1146" s="120">
        <v>0</v>
      </c>
      <c r="L1146" s="454"/>
      <c r="M1146" s="454"/>
      <c r="N1146" s="453"/>
      <c r="O1146" s="453"/>
    </row>
    <row r="1147" spans="1:15" ht="15" customHeight="1">
      <c r="A1147" s="299" t="s">
        <v>48</v>
      </c>
      <c r="B1147" s="299"/>
      <c r="C1147" s="111">
        <f t="shared" si="298"/>
        <v>0</v>
      </c>
      <c r="D1147" s="120">
        <v>0</v>
      </c>
      <c r="E1147" s="120">
        <v>0</v>
      </c>
      <c r="F1147" s="120">
        <v>0</v>
      </c>
      <c r="G1147" s="120">
        <v>0</v>
      </c>
      <c r="H1147" s="28">
        <f t="shared" si="295"/>
        <v>0</v>
      </c>
      <c r="I1147" s="120">
        <v>0</v>
      </c>
      <c r="J1147" s="120">
        <v>0</v>
      </c>
      <c r="K1147" s="120">
        <v>0</v>
      </c>
      <c r="L1147" s="454"/>
      <c r="M1147" s="454"/>
      <c r="N1147" s="453"/>
      <c r="O1147" s="453"/>
    </row>
    <row r="1148" spans="1:15" ht="15" customHeight="1">
      <c r="A1148" s="299" t="s">
        <v>49</v>
      </c>
      <c r="B1148" s="299"/>
      <c r="C1148" s="111">
        <f t="shared" si="298"/>
        <v>0</v>
      </c>
      <c r="D1148" s="120">
        <v>0</v>
      </c>
      <c r="E1148" s="120">
        <v>0</v>
      </c>
      <c r="F1148" s="120">
        <v>0</v>
      </c>
      <c r="G1148" s="120">
        <v>0</v>
      </c>
      <c r="H1148" s="28">
        <f t="shared" si="295"/>
        <v>0</v>
      </c>
      <c r="I1148" s="120">
        <v>0</v>
      </c>
      <c r="J1148" s="120">
        <v>0</v>
      </c>
      <c r="K1148" s="120">
        <v>0</v>
      </c>
      <c r="L1148" s="454"/>
      <c r="M1148" s="454"/>
      <c r="N1148" s="453"/>
      <c r="O1148" s="453"/>
    </row>
    <row r="1149" spans="1:15" ht="88.5" customHeight="1">
      <c r="A1149" s="340" t="s">
        <v>334</v>
      </c>
      <c r="B1149" s="341"/>
      <c r="C1149" s="189"/>
      <c r="D1149" s="189"/>
      <c r="E1149" s="189"/>
      <c r="F1149" s="189"/>
      <c r="G1149" s="189"/>
      <c r="H1149" s="28"/>
      <c r="I1149" s="189"/>
      <c r="J1149" s="189"/>
      <c r="K1149" s="189"/>
      <c r="L1149" s="454" t="s">
        <v>224</v>
      </c>
      <c r="M1149" s="454"/>
      <c r="N1149" s="452" t="s">
        <v>315</v>
      </c>
      <c r="O1149" s="452" t="s">
        <v>251</v>
      </c>
    </row>
    <row r="1150" spans="1:15" ht="15" customHeight="1">
      <c r="A1150" s="299" t="s">
        <v>52</v>
      </c>
      <c r="B1150" s="299"/>
      <c r="C1150" s="120">
        <f aca="true" t="shared" si="300" ref="C1150:K1150">SUM(C1151:C1155)</f>
        <v>1215.2773499999998</v>
      </c>
      <c r="D1150" s="120">
        <f t="shared" si="300"/>
        <v>112.5</v>
      </c>
      <c r="E1150" s="120">
        <f t="shared" si="300"/>
        <v>118</v>
      </c>
      <c r="F1150" s="120">
        <f t="shared" si="300"/>
        <v>112.57735</v>
      </c>
      <c r="G1150" s="120">
        <f>SUM(G1151:G1155)</f>
        <v>124.6</v>
      </c>
      <c r="H1150" s="28">
        <f t="shared" si="295"/>
        <v>373.79999999999995</v>
      </c>
      <c r="I1150" s="120">
        <f>SUM(I1151:I1155)</f>
        <v>124.6</v>
      </c>
      <c r="J1150" s="120">
        <f>SUM(J1151:J1155)</f>
        <v>124.6</v>
      </c>
      <c r="K1150" s="120">
        <f t="shared" si="300"/>
        <v>124.6</v>
      </c>
      <c r="L1150" s="454"/>
      <c r="M1150" s="454"/>
      <c r="N1150" s="452"/>
      <c r="O1150" s="452"/>
    </row>
    <row r="1151" spans="1:15" ht="15" customHeight="1">
      <c r="A1151" s="299" t="s">
        <v>45</v>
      </c>
      <c r="B1151" s="299"/>
      <c r="C1151" s="111">
        <f>SUM(E1151:G1151)</f>
        <v>0</v>
      </c>
      <c r="D1151" s="120">
        <v>0</v>
      </c>
      <c r="E1151" s="118">
        <v>0</v>
      </c>
      <c r="F1151" s="118">
        <v>0</v>
      </c>
      <c r="G1151" s="118">
        <v>0</v>
      </c>
      <c r="H1151" s="28">
        <f t="shared" si="295"/>
        <v>0</v>
      </c>
      <c r="I1151" s="118">
        <v>0</v>
      </c>
      <c r="J1151" s="118">
        <v>0</v>
      </c>
      <c r="K1151" s="120">
        <v>0</v>
      </c>
      <c r="L1151" s="454"/>
      <c r="M1151" s="454"/>
      <c r="N1151" s="452"/>
      <c r="O1151" s="452"/>
    </row>
    <row r="1152" spans="1:15" ht="15" customHeight="1">
      <c r="A1152" s="299" t="s">
        <v>46</v>
      </c>
      <c r="B1152" s="299"/>
      <c r="C1152" s="112">
        <f>SUM(D1152:K1152)</f>
        <v>1215.2773499999998</v>
      </c>
      <c r="D1152" s="120">
        <v>112.5</v>
      </c>
      <c r="E1152" s="120">
        <v>118</v>
      </c>
      <c r="F1152" s="120">
        <v>112.57735</v>
      </c>
      <c r="G1152" s="120">
        <v>124.6</v>
      </c>
      <c r="H1152" s="28">
        <f t="shared" si="295"/>
        <v>373.79999999999995</v>
      </c>
      <c r="I1152" s="120">
        <v>124.6</v>
      </c>
      <c r="J1152" s="120">
        <v>124.6</v>
      </c>
      <c r="K1152" s="120">
        <v>124.6</v>
      </c>
      <c r="L1152" s="454"/>
      <c r="M1152" s="454"/>
      <c r="N1152" s="452"/>
      <c r="O1152" s="452"/>
    </row>
    <row r="1153" spans="1:15" ht="18" customHeight="1">
      <c r="A1153" s="299" t="s">
        <v>47</v>
      </c>
      <c r="B1153" s="299"/>
      <c r="C1153" s="111">
        <f>SUM(E1153:G1153)</f>
        <v>0</v>
      </c>
      <c r="D1153" s="120">
        <v>0</v>
      </c>
      <c r="E1153" s="120">
        <v>0</v>
      </c>
      <c r="F1153" s="120">
        <v>0</v>
      </c>
      <c r="G1153" s="120">
        <v>0</v>
      </c>
      <c r="H1153" s="28">
        <f t="shared" si="295"/>
        <v>0</v>
      </c>
      <c r="I1153" s="120">
        <v>0</v>
      </c>
      <c r="J1153" s="120">
        <v>0</v>
      </c>
      <c r="K1153" s="120">
        <v>0</v>
      </c>
      <c r="L1153" s="454"/>
      <c r="M1153" s="454"/>
      <c r="N1153" s="452"/>
      <c r="O1153" s="452"/>
    </row>
    <row r="1154" spans="1:15" ht="19.5" customHeight="1">
      <c r="A1154" s="299" t="s">
        <v>48</v>
      </c>
      <c r="B1154" s="299"/>
      <c r="C1154" s="111">
        <f>SUM(E1154:G1154)</f>
        <v>0</v>
      </c>
      <c r="D1154" s="120">
        <v>0</v>
      </c>
      <c r="E1154" s="120">
        <v>0</v>
      </c>
      <c r="F1154" s="120">
        <v>0</v>
      </c>
      <c r="G1154" s="120">
        <v>0</v>
      </c>
      <c r="H1154" s="28">
        <f t="shared" si="295"/>
        <v>0</v>
      </c>
      <c r="I1154" s="120">
        <v>0</v>
      </c>
      <c r="J1154" s="120">
        <v>0</v>
      </c>
      <c r="K1154" s="120">
        <v>0</v>
      </c>
      <c r="L1154" s="454"/>
      <c r="M1154" s="454"/>
      <c r="N1154" s="452"/>
      <c r="O1154" s="452"/>
    </row>
    <row r="1155" spans="1:15" ht="15" customHeight="1">
      <c r="A1155" s="299" t="s">
        <v>49</v>
      </c>
      <c r="B1155" s="299"/>
      <c r="C1155" s="111">
        <f>SUM(E1155:G1155)</f>
        <v>0</v>
      </c>
      <c r="D1155" s="120">
        <v>0</v>
      </c>
      <c r="E1155" s="120">
        <v>0</v>
      </c>
      <c r="F1155" s="120">
        <v>0</v>
      </c>
      <c r="G1155" s="120">
        <v>0</v>
      </c>
      <c r="H1155" s="28">
        <f t="shared" si="295"/>
        <v>0</v>
      </c>
      <c r="I1155" s="120">
        <v>0</v>
      </c>
      <c r="J1155" s="120">
        <v>0</v>
      </c>
      <c r="K1155" s="120">
        <v>0</v>
      </c>
      <c r="L1155" s="454"/>
      <c r="M1155" s="454"/>
      <c r="N1155" s="452"/>
      <c r="O1155" s="452"/>
    </row>
    <row r="1156" spans="1:15" ht="63.75" customHeight="1">
      <c r="A1156" s="461" t="s">
        <v>380</v>
      </c>
      <c r="B1156" s="462"/>
      <c r="C1156" s="189"/>
      <c r="D1156" s="189"/>
      <c r="E1156" s="189"/>
      <c r="F1156" s="189"/>
      <c r="G1156" s="189"/>
      <c r="H1156" s="28"/>
      <c r="I1156" s="189"/>
      <c r="J1156" s="189"/>
      <c r="K1156" s="189"/>
      <c r="L1156" s="454" t="s">
        <v>224</v>
      </c>
      <c r="M1156" s="415"/>
      <c r="N1156" s="303" t="s">
        <v>315</v>
      </c>
      <c r="O1156" s="303" t="s">
        <v>251</v>
      </c>
    </row>
    <row r="1157" spans="1:15" ht="15" customHeight="1">
      <c r="A1157" s="299" t="s">
        <v>52</v>
      </c>
      <c r="B1157" s="299"/>
      <c r="C1157" s="120">
        <f aca="true" t="shared" si="301" ref="C1157:K1157">SUM(C1158:C1162)</f>
        <v>1169.6999999999998</v>
      </c>
      <c r="D1157" s="120">
        <f t="shared" si="301"/>
        <v>50.8</v>
      </c>
      <c r="E1157" s="120">
        <f t="shared" si="301"/>
        <v>53.5</v>
      </c>
      <c r="F1157" s="120">
        <f t="shared" si="301"/>
        <v>103.8</v>
      </c>
      <c r="G1157" s="120">
        <f>SUM(G1158:G1162)</f>
        <v>338.8</v>
      </c>
      <c r="H1157" s="28">
        <f t="shared" si="295"/>
        <v>311.4</v>
      </c>
      <c r="I1157" s="120">
        <f>SUM(I1158:I1162)</f>
        <v>103.8</v>
      </c>
      <c r="J1157" s="120">
        <f>SUM(J1158:J1162)</f>
        <v>103.8</v>
      </c>
      <c r="K1157" s="120">
        <f t="shared" si="301"/>
        <v>103.8</v>
      </c>
      <c r="L1157" s="454"/>
      <c r="M1157" s="416"/>
      <c r="N1157" s="304"/>
      <c r="O1157" s="304"/>
    </row>
    <row r="1158" spans="1:15" ht="15" customHeight="1">
      <c r="A1158" s="299" t="s">
        <v>45</v>
      </c>
      <c r="B1158" s="299"/>
      <c r="C1158" s="111">
        <f>SUM(E1158:G1158)</f>
        <v>0</v>
      </c>
      <c r="D1158" s="120">
        <v>0</v>
      </c>
      <c r="E1158" s="118">
        <v>0</v>
      </c>
      <c r="F1158" s="118">
        <v>0</v>
      </c>
      <c r="G1158" s="118">
        <v>0</v>
      </c>
      <c r="H1158" s="28">
        <f t="shared" si="295"/>
        <v>0</v>
      </c>
      <c r="I1158" s="118">
        <v>0</v>
      </c>
      <c r="J1158" s="118">
        <v>0</v>
      </c>
      <c r="K1158" s="120">
        <v>0</v>
      </c>
      <c r="L1158" s="454"/>
      <c r="M1158" s="416"/>
      <c r="N1158" s="304"/>
      <c r="O1158" s="304"/>
    </row>
    <row r="1159" spans="1:15" ht="15" customHeight="1">
      <c r="A1159" s="299" t="s">
        <v>46</v>
      </c>
      <c r="B1159" s="299"/>
      <c r="C1159" s="112">
        <f>SUM(D1159:K1159)</f>
        <v>1169.6999999999998</v>
      </c>
      <c r="D1159" s="120">
        <v>50.8</v>
      </c>
      <c r="E1159" s="120">
        <v>53.5</v>
      </c>
      <c r="F1159" s="120">
        <v>103.8</v>
      </c>
      <c r="G1159" s="120">
        <v>338.8</v>
      </c>
      <c r="H1159" s="28">
        <f t="shared" si="295"/>
        <v>311.4</v>
      </c>
      <c r="I1159" s="120">
        <v>103.8</v>
      </c>
      <c r="J1159" s="120">
        <v>103.8</v>
      </c>
      <c r="K1159" s="120">
        <v>103.8</v>
      </c>
      <c r="L1159" s="454"/>
      <c r="M1159" s="416"/>
      <c r="N1159" s="304"/>
      <c r="O1159" s="304"/>
    </row>
    <row r="1160" spans="1:15" ht="15" customHeight="1">
      <c r="A1160" s="299" t="s">
        <v>47</v>
      </c>
      <c r="B1160" s="299"/>
      <c r="C1160" s="111">
        <f>SUM(E1160:G1160)</f>
        <v>0</v>
      </c>
      <c r="D1160" s="120">
        <v>0</v>
      </c>
      <c r="E1160" s="120">
        <v>0</v>
      </c>
      <c r="F1160" s="120">
        <v>0</v>
      </c>
      <c r="G1160" s="120">
        <v>0</v>
      </c>
      <c r="H1160" s="28">
        <f t="shared" si="295"/>
        <v>0</v>
      </c>
      <c r="I1160" s="120">
        <v>0</v>
      </c>
      <c r="J1160" s="120">
        <v>0</v>
      </c>
      <c r="K1160" s="120">
        <v>0</v>
      </c>
      <c r="L1160" s="454"/>
      <c r="M1160" s="416"/>
      <c r="N1160" s="304"/>
      <c r="O1160" s="304"/>
    </row>
    <row r="1161" spans="1:15" ht="21" customHeight="1">
      <c r="A1161" s="299" t="s">
        <v>48</v>
      </c>
      <c r="B1161" s="299"/>
      <c r="C1161" s="111">
        <f>SUM(E1161:G1161)</f>
        <v>0</v>
      </c>
      <c r="D1161" s="120">
        <v>0</v>
      </c>
      <c r="E1161" s="120">
        <v>0</v>
      </c>
      <c r="F1161" s="120">
        <v>0</v>
      </c>
      <c r="G1161" s="120">
        <v>0</v>
      </c>
      <c r="H1161" s="28">
        <f t="shared" si="295"/>
        <v>0</v>
      </c>
      <c r="I1161" s="120">
        <v>0</v>
      </c>
      <c r="J1161" s="120">
        <v>0</v>
      </c>
      <c r="K1161" s="120">
        <v>0</v>
      </c>
      <c r="L1161" s="454"/>
      <c r="M1161" s="416"/>
      <c r="N1161" s="304"/>
      <c r="O1161" s="304"/>
    </row>
    <row r="1162" spans="1:15" ht="15" customHeight="1">
      <c r="A1162" s="299" t="s">
        <v>49</v>
      </c>
      <c r="B1162" s="299"/>
      <c r="C1162" s="111">
        <f>SUM(E1162:G1162)</f>
        <v>0</v>
      </c>
      <c r="D1162" s="120">
        <v>0</v>
      </c>
      <c r="E1162" s="120">
        <v>0</v>
      </c>
      <c r="F1162" s="120">
        <v>0</v>
      </c>
      <c r="G1162" s="120">
        <v>0</v>
      </c>
      <c r="H1162" s="28">
        <f t="shared" si="295"/>
        <v>0</v>
      </c>
      <c r="I1162" s="120">
        <v>0</v>
      </c>
      <c r="J1162" s="120">
        <v>0</v>
      </c>
      <c r="K1162" s="120">
        <v>0</v>
      </c>
      <c r="L1162" s="454"/>
      <c r="M1162" s="417"/>
      <c r="N1162" s="305"/>
      <c r="O1162" s="305"/>
    </row>
    <row r="1163" spans="1:15" ht="43.5" customHeight="1">
      <c r="A1163" s="340" t="s">
        <v>335</v>
      </c>
      <c r="B1163" s="341"/>
      <c r="C1163" s="189"/>
      <c r="D1163" s="189"/>
      <c r="E1163" s="189"/>
      <c r="F1163" s="189"/>
      <c r="G1163" s="189"/>
      <c r="H1163" s="28"/>
      <c r="I1163" s="189"/>
      <c r="J1163" s="189"/>
      <c r="K1163" s="189"/>
      <c r="L1163" s="454" t="s">
        <v>225</v>
      </c>
      <c r="M1163" s="454" t="s">
        <v>204</v>
      </c>
      <c r="N1163" s="303" t="s">
        <v>324</v>
      </c>
      <c r="O1163" s="303" t="s">
        <v>248</v>
      </c>
    </row>
    <row r="1164" spans="1:15" ht="15" customHeight="1">
      <c r="A1164" s="299" t="s">
        <v>52</v>
      </c>
      <c r="B1164" s="299"/>
      <c r="C1164" s="120">
        <f aca="true" t="shared" si="302" ref="C1164:K1164">SUM(C1165:C1169)</f>
        <v>2806.2000000000003</v>
      </c>
      <c r="D1164" s="120">
        <f t="shared" si="302"/>
        <v>257</v>
      </c>
      <c r="E1164" s="120">
        <f t="shared" si="302"/>
        <v>270</v>
      </c>
      <c r="F1164" s="120">
        <f t="shared" si="302"/>
        <v>284.9</v>
      </c>
      <c r="G1164" s="120">
        <f>SUM(G1165:G1169)</f>
        <v>284.9</v>
      </c>
      <c r="H1164" s="28">
        <f t="shared" si="295"/>
        <v>854.6999999999999</v>
      </c>
      <c r="I1164" s="120">
        <f>SUM(I1165:I1169)</f>
        <v>284.9</v>
      </c>
      <c r="J1164" s="120">
        <f>SUM(J1165:J1169)</f>
        <v>284.9</v>
      </c>
      <c r="K1164" s="120">
        <f t="shared" si="302"/>
        <v>284.9</v>
      </c>
      <c r="L1164" s="454"/>
      <c r="M1164" s="454"/>
      <c r="N1164" s="304"/>
      <c r="O1164" s="304"/>
    </row>
    <row r="1165" spans="1:15" ht="15" customHeight="1">
      <c r="A1165" s="299" t="s">
        <v>45</v>
      </c>
      <c r="B1165" s="299"/>
      <c r="C1165" s="111">
        <f>SUM(E1165:G1165)</f>
        <v>0</v>
      </c>
      <c r="D1165" s="120">
        <v>0</v>
      </c>
      <c r="E1165" s="118">
        <v>0</v>
      </c>
      <c r="F1165" s="118">
        <v>0</v>
      </c>
      <c r="G1165" s="118">
        <v>0</v>
      </c>
      <c r="H1165" s="28">
        <f t="shared" si="295"/>
        <v>0</v>
      </c>
      <c r="I1165" s="118">
        <v>0</v>
      </c>
      <c r="J1165" s="118">
        <v>0</v>
      </c>
      <c r="K1165" s="120">
        <v>0</v>
      </c>
      <c r="L1165" s="454"/>
      <c r="M1165" s="454"/>
      <c r="N1165" s="304"/>
      <c r="O1165" s="304"/>
    </row>
    <row r="1166" spans="1:15" ht="15" customHeight="1">
      <c r="A1166" s="299" t="s">
        <v>46</v>
      </c>
      <c r="B1166" s="299"/>
      <c r="C1166" s="112">
        <f>SUM(D1166:K1166)</f>
        <v>2806.2000000000003</v>
      </c>
      <c r="D1166" s="120">
        <v>257</v>
      </c>
      <c r="E1166" s="120">
        <v>270</v>
      </c>
      <c r="F1166" s="120">
        <v>284.9</v>
      </c>
      <c r="G1166" s="120">
        <v>284.9</v>
      </c>
      <c r="H1166" s="28">
        <f t="shared" si="295"/>
        <v>854.6999999999999</v>
      </c>
      <c r="I1166" s="120">
        <v>284.9</v>
      </c>
      <c r="J1166" s="120">
        <v>284.9</v>
      </c>
      <c r="K1166" s="120">
        <v>284.9</v>
      </c>
      <c r="L1166" s="454"/>
      <c r="M1166" s="454"/>
      <c r="N1166" s="304"/>
      <c r="O1166" s="304"/>
    </row>
    <row r="1167" spans="1:15" ht="15" customHeight="1">
      <c r="A1167" s="299" t="s">
        <v>47</v>
      </c>
      <c r="B1167" s="299"/>
      <c r="C1167" s="111">
        <f>SUM(E1167:G1167)</f>
        <v>0</v>
      </c>
      <c r="D1167" s="120">
        <v>0</v>
      </c>
      <c r="E1167" s="120">
        <v>0</v>
      </c>
      <c r="F1167" s="120">
        <v>0</v>
      </c>
      <c r="G1167" s="120">
        <v>0</v>
      </c>
      <c r="H1167" s="28">
        <f t="shared" si="295"/>
        <v>0</v>
      </c>
      <c r="I1167" s="120">
        <v>0</v>
      </c>
      <c r="J1167" s="120">
        <v>0</v>
      </c>
      <c r="K1167" s="120">
        <v>0</v>
      </c>
      <c r="L1167" s="454"/>
      <c r="M1167" s="454"/>
      <c r="N1167" s="304"/>
      <c r="O1167" s="304"/>
    </row>
    <row r="1168" spans="1:15" ht="29.25" customHeight="1">
      <c r="A1168" s="299" t="s">
        <v>48</v>
      </c>
      <c r="B1168" s="299"/>
      <c r="C1168" s="111">
        <f>SUM(E1168:G1168)</f>
        <v>0</v>
      </c>
      <c r="D1168" s="120">
        <v>0</v>
      </c>
      <c r="E1168" s="120">
        <v>0</v>
      </c>
      <c r="F1168" s="120">
        <v>0</v>
      </c>
      <c r="G1168" s="120">
        <v>0</v>
      </c>
      <c r="H1168" s="28">
        <f t="shared" si="295"/>
        <v>0</v>
      </c>
      <c r="I1168" s="120">
        <v>0</v>
      </c>
      <c r="J1168" s="120">
        <v>0</v>
      </c>
      <c r="K1168" s="120">
        <v>0</v>
      </c>
      <c r="L1168" s="454"/>
      <c r="M1168" s="454"/>
      <c r="N1168" s="304"/>
      <c r="O1168" s="304"/>
    </row>
    <row r="1169" spans="1:15" ht="15" customHeight="1">
      <c r="A1169" s="299" t="s">
        <v>49</v>
      </c>
      <c r="B1169" s="299"/>
      <c r="C1169" s="111">
        <f>SUM(E1169:G1169)</f>
        <v>0</v>
      </c>
      <c r="D1169" s="120">
        <v>0</v>
      </c>
      <c r="E1169" s="120">
        <v>0</v>
      </c>
      <c r="F1169" s="120">
        <v>0</v>
      </c>
      <c r="G1169" s="120">
        <v>0</v>
      </c>
      <c r="H1169" s="28">
        <f t="shared" si="295"/>
        <v>0</v>
      </c>
      <c r="I1169" s="120">
        <v>0</v>
      </c>
      <c r="J1169" s="120">
        <v>0</v>
      </c>
      <c r="K1169" s="120">
        <v>0</v>
      </c>
      <c r="L1169" s="454"/>
      <c r="M1169" s="454"/>
      <c r="N1169" s="305"/>
      <c r="O1169" s="305"/>
    </row>
    <row r="1170" spans="1:15" ht="38.25" customHeight="1">
      <c r="A1170" s="340" t="s">
        <v>336</v>
      </c>
      <c r="B1170" s="341"/>
      <c r="C1170" s="189"/>
      <c r="D1170" s="189"/>
      <c r="E1170" s="189"/>
      <c r="F1170" s="189"/>
      <c r="G1170" s="189"/>
      <c r="H1170" s="28"/>
      <c r="I1170" s="189"/>
      <c r="J1170" s="189"/>
      <c r="K1170" s="189"/>
      <c r="L1170" s="454" t="s">
        <v>224</v>
      </c>
      <c r="M1170" s="454"/>
      <c r="N1170" s="303" t="s">
        <v>315</v>
      </c>
      <c r="O1170" s="303" t="s">
        <v>251</v>
      </c>
    </row>
    <row r="1171" spans="1:15" ht="15" customHeight="1">
      <c r="A1171" s="299" t="s">
        <v>52</v>
      </c>
      <c r="B1171" s="299"/>
      <c r="C1171" s="120">
        <f aca="true" t="shared" si="303" ref="C1171:K1171">SUM(C1172:C1176)</f>
        <v>689.1</v>
      </c>
      <c r="D1171" s="120">
        <f t="shared" si="303"/>
        <v>61.1</v>
      </c>
      <c r="E1171" s="120">
        <f t="shared" si="303"/>
        <v>64</v>
      </c>
      <c r="F1171" s="120">
        <f t="shared" si="303"/>
        <v>67.5</v>
      </c>
      <c r="G1171" s="120">
        <f>SUM(G1172:G1176)</f>
        <v>67.5</v>
      </c>
      <c r="H1171" s="28">
        <f t="shared" si="295"/>
        <v>214.5</v>
      </c>
      <c r="I1171" s="120">
        <f>SUM(I1172:I1176)</f>
        <v>71.5</v>
      </c>
      <c r="J1171" s="120">
        <f>SUM(J1172:J1176)</f>
        <v>71.5</v>
      </c>
      <c r="K1171" s="120">
        <f t="shared" si="303"/>
        <v>71.5</v>
      </c>
      <c r="L1171" s="454"/>
      <c r="M1171" s="454"/>
      <c r="N1171" s="304"/>
      <c r="O1171" s="304"/>
    </row>
    <row r="1172" spans="1:15" ht="15" customHeight="1">
      <c r="A1172" s="299" t="s">
        <v>45</v>
      </c>
      <c r="B1172" s="299"/>
      <c r="C1172" s="111">
        <f>SUM(E1172:G1172)</f>
        <v>0</v>
      </c>
      <c r="D1172" s="120">
        <v>0</v>
      </c>
      <c r="E1172" s="118">
        <v>0</v>
      </c>
      <c r="F1172" s="118">
        <v>0</v>
      </c>
      <c r="G1172" s="118">
        <v>0</v>
      </c>
      <c r="H1172" s="28">
        <f t="shared" si="295"/>
        <v>0</v>
      </c>
      <c r="I1172" s="118">
        <v>0</v>
      </c>
      <c r="J1172" s="118">
        <v>0</v>
      </c>
      <c r="K1172" s="120">
        <v>0</v>
      </c>
      <c r="L1172" s="454"/>
      <c r="M1172" s="454"/>
      <c r="N1172" s="304"/>
      <c r="O1172" s="304"/>
    </row>
    <row r="1173" spans="1:15" ht="15" customHeight="1">
      <c r="A1173" s="299" t="s">
        <v>46</v>
      </c>
      <c r="B1173" s="299"/>
      <c r="C1173" s="112">
        <f>SUM(D1173:K1173)</f>
        <v>689.1</v>
      </c>
      <c r="D1173" s="120">
        <v>61.1</v>
      </c>
      <c r="E1173" s="120">
        <v>64</v>
      </c>
      <c r="F1173" s="120">
        <v>67.5</v>
      </c>
      <c r="G1173" s="120">
        <v>67.5</v>
      </c>
      <c r="H1173" s="28">
        <f t="shared" si="295"/>
        <v>214.5</v>
      </c>
      <c r="I1173" s="120">
        <v>71.5</v>
      </c>
      <c r="J1173" s="120">
        <v>71.5</v>
      </c>
      <c r="K1173" s="120">
        <v>71.5</v>
      </c>
      <c r="L1173" s="454"/>
      <c r="M1173" s="454"/>
      <c r="N1173" s="304"/>
      <c r="O1173" s="304"/>
    </row>
    <row r="1174" spans="1:15" ht="15" customHeight="1">
      <c r="A1174" s="299" t="s">
        <v>47</v>
      </c>
      <c r="B1174" s="299"/>
      <c r="C1174" s="111">
        <f>SUM(E1174:G1174)</f>
        <v>0</v>
      </c>
      <c r="D1174" s="120">
        <v>0</v>
      </c>
      <c r="E1174" s="120">
        <v>0</v>
      </c>
      <c r="F1174" s="120">
        <v>0</v>
      </c>
      <c r="G1174" s="120">
        <v>0</v>
      </c>
      <c r="H1174" s="28">
        <f t="shared" si="295"/>
        <v>0</v>
      </c>
      <c r="I1174" s="120">
        <v>0</v>
      </c>
      <c r="J1174" s="120">
        <v>0</v>
      </c>
      <c r="K1174" s="120">
        <v>0</v>
      </c>
      <c r="L1174" s="454"/>
      <c r="M1174" s="454"/>
      <c r="N1174" s="304"/>
      <c r="O1174" s="304"/>
    </row>
    <row r="1175" spans="1:15" ht="21.75" customHeight="1">
      <c r="A1175" s="299" t="s">
        <v>48</v>
      </c>
      <c r="B1175" s="299"/>
      <c r="C1175" s="111">
        <f>SUM(E1175:G1175)</f>
        <v>0</v>
      </c>
      <c r="D1175" s="120">
        <v>0</v>
      </c>
      <c r="E1175" s="120">
        <v>0</v>
      </c>
      <c r="F1175" s="120">
        <v>0</v>
      </c>
      <c r="G1175" s="120">
        <v>0</v>
      </c>
      <c r="H1175" s="28">
        <f t="shared" si="295"/>
        <v>0</v>
      </c>
      <c r="I1175" s="120">
        <v>0</v>
      </c>
      <c r="J1175" s="120">
        <v>0</v>
      </c>
      <c r="K1175" s="120">
        <v>0</v>
      </c>
      <c r="L1175" s="454"/>
      <c r="M1175" s="454"/>
      <c r="N1175" s="304"/>
      <c r="O1175" s="304"/>
    </row>
    <row r="1176" spans="1:15" ht="15" customHeight="1">
      <c r="A1176" s="299" t="s">
        <v>49</v>
      </c>
      <c r="B1176" s="299"/>
      <c r="C1176" s="111">
        <f>SUM(E1176:G1176)</f>
        <v>0</v>
      </c>
      <c r="D1176" s="120">
        <v>0</v>
      </c>
      <c r="E1176" s="120">
        <v>0</v>
      </c>
      <c r="F1176" s="120">
        <v>0</v>
      </c>
      <c r="G1176" s="120">
        <v>0</v>
      </c>
      <c r="H1176" s="28">
        <f t="shared" si="295"/>
        <v>0</v>
      </c>
      <c r="I1176" s="120">
        <v>0</v>
      </c>
      <c r="J1176" s="120">
        <v>0</v>
      </c>
      <c r="K1176" s="120">
        <v>0</v>
      </c>
      <c r="L1176" s="454"/>
      <c r="M1176" s="454"/>
      <c r="N1176" s="305"/>
      <c r="O1176" s="305"/>
    </row>
    <row r="1177" spans="1:15" ht="32.25" customHeight="1">
      <c r="A1177" s="306" t="s">
        <v>337</v>
      </c>
      <c r="B1177" s="307"/>
      <c r="C1177" s="192"/>
      <c r="D1177" s="192"/>
      <c r="E1177" s="192"/>
      <c r="F1177" s="192"/>
      <c r="G1177" s="192"/>
      <c r="H1177" s="28"/>
      <c r="I1177" s="193"/>
      <c r="J1177" s="193"/>
      <c r="K1177" s="193"/>
      <c r="L1177" s="300" t="s">
        <v>224</v>
      </c>
      <c r="M1177" s="300"/>
      <c r="N1177" s="303" t="s">
        <v>315</v>
      </c>
      <c r="O1177" s="303" t="s">
        <v>251</v>
      </c>
    </row>
    <row r="1178" spans="1:15" ht="15" customHeight="1">
      <c r="A1178" s="299" t="s">
        <v>52</v>
      </c>
      <c r="B1178" s="299"/>
      <c r="C1178" s="120">
        <f aca="true" t="shared" si="304" ref="C1178:K1178">SUM(C1179:C1183)</f>
        <v>75059.73516000001</v>
      </c>
      <c r="D1178" s="120">
        <f t="shared" si="304"/>
        <v>61.1</v>
      </c>
      <c r="E1178" s="120">
        <f t="shared" si="304"/>
        <v>64</v>
      </c>
      <c r="F1178" s="120">
        <f t="shared" si="304"/>
        <v>67.5</v>
      </c>
      <c r="G1178" s="120">
        <f t="shared" si="304"/>
        <v>67.5</v>
      </c>
      <c r="H1178" s="28">
        <f t="shared" si="295"/>
        <v>37399.81758</v>
      </c>
      <c r="I1178" s="120">
        <f t="shared" si="304"/>
        <v>12468.36721</v>
      </c>
      <c r="J1178" s="120">
        <f t="shared" si="304"/>
        <v>12432.68266</v>
      </c>
      <c r="K1178" s="120">
        <f t="shared" si="304"/>
        <v>12498.76771</v>
      </c>
      <c r="L1178" s="301"/>
      <c r="M1178" s="301"/>
      <c r="N1178" s="304"/>
      <c r="O1178" s="304"/>
    </row>
    <row r="1179" spans="1:15" ht="15" customHeight="1">
      <c r="A1179" s="299" t="s">
        <v>45</v>
      </c>
      <c r="B1179" s="299"/>
      <c r="C1179" s="111">
        <f>SUM(E1179:G1179)</f>
        <v>0</v>
      </c>
      <c r="D1179" s="120">
        <v>0</v>
      </c>
      <c r="E1179" s="118">
        <v>0</v>
      </c>
      <c r="F1179" s="118">
        <v>0</v>
      </c>
      <c r="G1179" s="118">
        <v>0</v>
      </c>
      <c r="H1179" s="28">
        <f t="shared" si="295"/>
        <v>0</v>
      </c>
      <c r="I1179" s="118">
        <v>0</v>
      </c>
      <c r="J1179" s="118">
        <v>0</v>
      </c>
      <c r="K1179" s="120">
        <v>0</v>
      </c>
      <c r="L1179" s="301"/>
      <c r="M1179" s="301"/>
      <c r="N1179" s="304"/>
      <c r="O1179" s="304"/>
    </row>
    <row r="1180" spans="1:15" ht="15" customHeight="1">
      <c r="A1180" s="299" t="s">
        <v>46</v>
      </c>
      <c r="B1180" s="299"/>
      <c r="C1180" s="112">
        <f>SUM(D1180:K1180)</f>
        <v>75059.73516000001</v>
      </c>
      <c r="D1180" s="120">
        <v>61.1</v>
      </c>
      <c r="E1180" s="120">
        <v>64</v>
      </c>
      <c r="F1180" s="120">
        <v>67.5</v>
      </c>
      <c r="G1180" s="120">
        <v>67.5</v>
      </c>
      <c r="H1180" s="28">
        <f t="shared" si="295"/>
        <v>37399.81758</v>
      </c>
      <c r="I1180" s="123">
        <v>12468.36721</v>
      </c>
      <c r="J1180" s="129">
        <v>12432.68266</v>
      </c>
      <c r="K1180" s="129">
        <v>12498.76771</v>
      </c>
      <c r="L1180" s="301"/>
      <c r="M1180" s="301"/>
      <c r="N1180" s="304"/>
      <c r="O1180" s="304"/>
    </row>
    <row r="1181" spans="1:15" ht="15" customHeight="1">
      <c r="A1181" s="299" t="s">
        <v>47</v>
      </c>
      <c r="B1181" s="299"/>
      <c r="C1181" s="111">
        <f>SUM(E1181:G1181)</f>
        <v>0</v>
      </c>
      <c r="D1181" s="120">
        <v>0</v>
      </c>
      <c r="E1181" s="120">
        <v>0</v>
      </c>
      <c r="F1181" s="120">
        <v>0</v>
      </c>
      <c r="G1181" s="120">
        <v>0</v>
      </c>
      <c r="H1181" s="28">
        <f t="shared" si="295"/>
        <v>0</v>
      </c>
      <c r="I1181" s="120">
        <v>0</v>
      </c>
      <c r="J1181" s="120">
        <v>0</v>
      </c>
      <c r="K1181" s="120">
        <v>0</v>
      </c>
      <c r="L1181" s="301"/>
      <c r="M1181" s="301"/>
      <c r="N1181" s="304"/>
      <c r="O1181" s="304"/>
    </row>
    <row r="1182" spans="1:15" ht="15" customHeight="1">
      <c r="A1182" s="299" t="s">
        <v>48</v>
      </c>
      <c r="B1182" s="299"/>
      <c r="C1182" s="111">
        <f>SUM(E1182:G1182)</f>
        <v>0</v>
      </c>
      <c r="D1182" s="120">
        <v>0</v>
      </c>
      <c r="E1182" s="120">
        <v>0</v>
      </c>
      <c r="F1182" s="120">
        <v>0</v>
      </c>
      <c r="G1182" s="120">
        <v>0</v>
      </c>
      <c r="H1182" s="28">
        <f t="shared" si="295"/>
        <v>0</v>
      </c>
      <c r="I1182" s="120">
        <v>0</v>
      </c>
      <c r="J1182" s="120">
        <v>0</v>
      </c>
      <c r="K1182" s="120">
        <v>0</v>
      </c>
      <c r="L1182" s="301"/>
      <c r="M1182" s="301"/>
      <c r="N1182" s="304"/>
      <c r="O1182" s="304"/>
    </row>
    <row r="1183" spans="1:15" ht="15" customHeight="1">
      <c r="A1183" s="299" t="s">
        <v>49</v>
      </c>
      <c r="B1183" s="299"/>
      <c r="C1183" s="111">
        <f>SUM(E1183:G1183)</f>
        <v>0</v>
      </c>
      <c r="D1183" s="120">
        <v>0</v>
      </c>
      <c r="E1183" s="120">
        <v>0</v>
      </c>
      <c r="F1183" s="120">
        <v>0</v>
      </c>
      <c r="G1183" s="120">
        <v>0</v>
      </c>
      <c r="H1183" s="28">
        <f t="shared" si="295"/>
        <v>0</v>
      </c>
      <c r="I1183" s="120">
        <v>0</v>
      </c>
      <c r="J1183" s="120">
        <v>0</v>
      </c>
      <c r="K1183" s="120">
        <v>0</v>
      </c>
      <c r="L1183" s="302"/>
      <c r="M1183" s="302"/>
      <c r="N1183" s="305"/>
      <c r="O1183" s="305"/>
    </row>
    <row r="1184" spans="1:15" ht="68.25" customHeight="1">
      <c r="A1184" s="306" t="s">
        <v>338</v>
      </c>
      <c r="B1184" s="307"/>
      <c r="C1184" s="192"/>
      <c r="D1184" s="192"/>
      <c r="E1184" s="192"/>
      <c r="F1184" s="192"/>
      <c r="G1184" s="192"/>
      <c r="H1184" s="28"/>
      <c r="I1184" s="193"/>
      <c r="J1184" s="193"/>
      <c r="K1184" s="193"/>
      <c r="L1184" s="300" t="s">
        <v>224</v>
      </c>
      <c r="M1184" s="300"/>
      <c r="N1184" s="303" t="s">
        <v>315</v>
      </c>
      <c r="O1184" s="303" t="s">
        <v>251</v>
      </c>
    </row>
    <row r="1185" spans="1:15" ht="15" customHeight="1">
      <c r="A1185" s="299" t="s">
        <v>52</v>
      </c>
      <c r="B1185" s="299"/>
      <c r="C1185" s="120">
        <f aca="true" t="shared" si="305" ref="C1185:K1185">SUM(C1186:C1190)</f>
        <v>2602.40722</v>
      </c>
      <c r="D1185" s="120">
        <f t="shared" si="305"/>
        <v>61.1</v>
      </c>
      <c r="E1185" s="120">
        <f t="shared" si="305"/>
        <v>64</v>
      </c>
      <c r="F1185" s="120">
        <f t="shared" si="305"/>
        <v>67.5</v>
      </c>
      <c r="G1185" s="120">
        <f t="shared" si="305"/>
        <v>67.5</v>
      </c>
      <c r="H1185" s="28">
        <f t="shared" si="295"/>
        <v>1171.1536099999998</v>
      </c>
      <c r="I1185" s="120">
        <f t="shared" si="305"/>
        <v>384.03778</v>
      </c>
      <c r="J1185" s="120">
        <f t="shared" si="305"/>
        <v>392.36744</v>
      </c>
      <c r="K1185" s="120">
        <f t="shared" si="305"/>
        <v>394.74839</v>
      </c>
      <c r="L1185" s="301"/>
      <c r="M1185" s="301"/>
      <c r="N1185" s="304"/>
      <c r="O1185" s="304"/>
    </row>
    <row r="1186" spans="1:15" ht="15" customHeight="1">
      <c r="A1186" s="299" t="s">
        <v>45</v>
      </c>
      <c r="B1186" s="299"/>
      <c r="C1186" s="111">
        <f>SUM(E1186:G1186)</f>
        <v>0</v>
      </c>
      <c r="D1186" s="120">
        <v>0</v>
      </c>
      <c r="E1186" s="118">
        <v>0</v>
      </c>
      <c r="F1186" s="118">
        <v>0</v>
      </c>
      <c r="G1186" s="118">
        <v>0</v>
      </c>
      <c r="H1186" s="28">
        <f t="shared" si="295"/>
        <v>0</v>
      </c>
      <c r="I1186" s="118">
        <v>0</v>
      </c>
      <c r="J1186" s="118">
        <v>0</v>
      </c>
      <c r="K1186" s="120">
        <v>0</v>
      </c>
      <c r="L1186" s="301"/>
      <c r="M1186" s="301"/>
      <c r="N1186" s="304"/>
      <c r="O1186" s="304"/>
    </row>
    <row r="1187" spans="1:15" ht="15" customHeight="1">
      <c r="A1187" s="299" t="s">
        <v>46</v>
      </c>
      <c r="B1187" s="299"/>
      <c r="C1187" s="112">
        <f>SUM(D1187:K1187)</f>
        <v>2602.40722</v>
      </c>
      <c r="D1187" s="120">
        <v>61.1</v>
      </c>
      <c r="E1187" s="120">
        <v>64</v>
      </c>
      <c r="F1187" s="120">
        <v>67.5</v>
      </c>
      <c r="G1187" s="120">
        <v>67.5</v>
      </c>
      <c r="H1187" s="28">
        <f t="shared" si="295"/>
        <v>1171.1536099999998</v>
      </c>
      <c r="I1187" s="123">
        <v>384.03778</v>
      </c>
      <c r="J1187" s="129">
        <v>392.36744</v>
      </c>
      <c r="K1187" s="129">
        <v>394.74839</v>
      </c>
      <c r="L1187" s="301"/>
      <c r="M1187" s="301"/>
      <c r="N1187" s="304"/>
      <c r="O1187" s="304"/>
    </row>
    <row r="1188" spans="1:15" ht="15" customHeight="1">
      <c r="A1188" s="299" t="s">
        <v>47</v>
      </c>
      <c r="B1188" s="299"/>
      <c r="C1188" s="111">
        <f>SUM(E1188:G1188)</f>
        <v>0</v>
      </c>
      <c r="D1188" s="120">
        <v>0</v>
      </c>
      <c r="E1188" s="120">
        <v>0</v>
      </c>
      <c r="F1188" s="120">
        <v>0</v>
      </c>
      <c r="G1188" s="120">
        <v>0</v>
      </c>
      <c r="H1188" s="28">
        <f t="shared" si="295"/>
        <v>0</v>
      </c>
      <c r="I1188" s="120">
        <v>0</v>
      </c>
      <c r="J1188" s="120">
        <v>0</v>
      </c>
      <c r="K1188" s="120">
        <v>0</v>
      </c>
      <c r="L1188" s="301"/>
      <c r="M1188" s="301"/>
      <c r="N1188" s="304"/>
      <c r="O1188" s="304"/>
    </row>
    <row r="1189" spans="1:15" ht="15" customHeight="1">
      <c r="A1189" s="299" t="s">
        <v>48</v>
      </c>
      <c r="B1189" s="299"/>
      <c r="C1189" s="111">
        <f>SUM(E1189:G1189)</f>
        <v>0</v>
      </c>
      <c r="D1189" s="120">
        <v>0</v>
      </c>
      <c r="E1189" s="120">
        <v>0</v>
      </c>
      <c r="F1189" s="120">
        <v>0</v>
      </c>
      <c r="G1189" s="120">
        <v>0</v>
      </c>
      <c r="H1189" s="28">
        <f t="shared" si="295"/>
        <v>0</v>
      </c>
      <c r="I1189" s="120">
        <v>0</v>
      </c>
      <c r="J1189" s="120">
        <v>0</v>
      </c>
      <c r="K1189" s="120">
        <v>0</v>
      </c>
      <c r="L1189" s="301"/>
      <c r="M1189" s="301"/>
      <c r="N1189" s="304"/>
      <c r="O1189" s="304"/>
    </row>
    <row r="1190" spans="1:15" ht="15" customHeight="1">
      <c r="A1190" s="299" t="s">
        <v>49</v>
      </c>
      <c r="B1190" s="299"/>
      <c r="C1190" s="111">
        <f>SUM(E1190:G1190)</f>
        <v>0</v>
      </c>
      <c r="D1190" s="120">
        <v>0</v>
      </c>
      <c r="E1190" s="120">
        <v>0</v>
      </c>
      <c r="F1190" s="120">
        <v>0</v>
      </c>
      <c r="G1190" s="120">
        <v>0</v>
      </c>
      <c r="H1190" s="28">
        <f t="shared" si="295"/>
        <v>0</v>
      </c>
      <c r="I1190" s="120">
        <v>0</v>
      </c>
      <c r="J1190" s="120">
        <v>0</v>
      </c>
      <c r="K1190" s="120">
        <v>0</v>
      </c>
      <c r="L1190" s="302"/>
      <c r="M1190" s="302"/>
      <c r="N1190" s="305"/>
      <c r="O1190" s="305"/>
    </row>
    <row r="1191" spans="1:15" ht="15" customHeight="1">
      <c r="A1191" s="306" t="s">
        <v>407</v>
      </c>
      <c r="B1191" s="307"/>
      <c r="C1191" s="227"/>
      <c r="D1191" s="228"/>
      <c r="E1191" s="228"/>
      <c r="F1191" s="228"/>
      <c r="G1191" s="228"/>
      <c r="H1191" s="28"/>
      <c r="I1191" s="120"/>
      <c r="J1191" s="120"/>
      <c r="K1191" s="120"/>
      <c r="L1191" s="300" t="s">
        <v>224</v>
      </c>
      <c r="M1191" s="300"/>
      <c r="N1191" s="303"/>
      <c r="O1191" s="303"/>
    </row>
    <row r="1192" spans="1:15" ht="15" customHeight="1">
      <c r="A1192" s="299" t="s">
        <v>52</v>
      </c>
      <c r="B1192" s="299"/>
      <c r="C1192" s="120">
        <f>SUM(C1193:C1197)</f>
        <v>260.1</v>
      </c>
      <c r="D1192" s="120">
        <f>SUM(D1193:D1197)</f>
        <v>61.1</v>
      </c>
      <c r="E1192" s="120">
        <f>SUM(E1193:E1197)</f>
        <v>64</v>
      </c>
      <c r="F1192" s="120">
        <f>SUM(F1193:F1197)</f>
        <v>67.5</v>
      </c>
      <c r="G1192" s="120">
        <f>SUM(G1193:G1197)</f>
        <v>67.5</v>
      </c>
      <c r="H1192" s="28">
        <f aca="true" t="shared" si="306" ref="H1192:H1197">I1192+J1192+K1192</f>
        <v>0</v>
      </c>
      <c r="I1192" s="120">
        <f>SUM(I1193:I1197)</f>
        <v>0</v>
      </c>
      <c r="J1192" s="120">
        <f>SUM(J1193:J1197)</f>
        <v>0</v>
      </c>
      <c r="K1192" s="120">
        <f>SUM(K1193:K1197)</f>
        <v>0</v>
      </c>
      <c r="L1192" s="301"/>
      <c r="M1192" s="301"/>
      <c r="N1192" s="304"/>
      <c r="O1192" s="304"/>
    </row>
    <row r="1193" spans="1:15" ht="15" customHeight="1">
      <c r="A1193" s="299" t="s">
        <v>45</v>
      </c>
      <c r="B1193" s="299"/>
      <c r="C1193" s="111">
        <f>SUM(E1193:G1193)</f>
        <v>0</v>
      </c>
      <c r="D1193" s="120">
        <v>0</v>
      </c>
      <c r="E1193" s="118">
        <v>0</v>
      </c>
      <c r="F1193" s="118">
        <v>0</v>
      </c>
      <c r="G1193" s="118">
        <v>0</v>
      </c>
      <c r="H1193" s="28">
        <f t="shared" si="306"/>
        <v>0</v>
      </c>
      <c r="I1193" s="118">
        <v>0</v>
      </c>
      <c r="J1193" s="118">
        <v>0</v>
      </c>
      <c r="K1193" s="120">
        <v>0</v>
      </c>
      <c r="L1193" s="301"/>
      <c r="M1193" s="301"/>
      <c r="N1193" s="304"/>
      <c r="O1193" s="304"/>
    </row>
    <row r="1194" spans="1:15" ht="15" customHeight="1">
      <c r="A1194" s="299" t="s">
        <v>46</v>
      </c>
      <c r="B1194" s="299"/>
      <c r="C1194" s="112">
        <f>SUM(D1194:K1194)</f>
        <v>260.1</v>
      </c>
      <c r="D1194" s="120">
        <v>61.1</v>
      </c>
      <c r="E1194" s="120">
        <v>64</v>
      </c>
      <c r="F1194" s="120">
        <v>67.5</v>
      </c>
      <c r="G1194" s="120">
        <v>67.5</v>
      </c>
      <c r="H1194" s="28">
        <f t="shared" si="306"/>
        <v>0</v>
      </c>
      <c r="I1194" s="123">
        <v>0</v>
      </c>
      <c r="J1194" s="129">
        <v>0</v>
      </c>
      <c r="K1194" s="129">
        <v>0</v>
      </c>
      <c r="L1194" s="301"/>
      <c r="M1194" s="301"/>
      <c r="N1194" s="304"/>
      <c r="O1194" s="304"/>
    </row>
    <row r="1195" spans="1:15" ht="15" customHeight="1">
      <c r="A1195" s="299" t="s">
        <v>47</v>
      </c>
      <c r="B1195" s="299"/>
      <c r="C1195" s="111">
        <f>SUM(E1195:G1195)</f>
        <v>0</v>
      </c>
      <c r="D1195" s="120">
        <v>0</v>
      </c>
      <c r="E1195" s="120">
        <v>0</v>
      </c>
      <c r="F1195" s="120">
        <v>0</v>
      </c>
      <c r="G1195" s="120">
        <v>0</v>
      </c>
      <c r="H1195" s="28">
        <f t="shared" si="306"/>
        <v>0</v>
      </c>
      <c r="I1195" s="120">
        <v>0</v>
      </c>
      <c r="J1195" s="120">
        <v>0</v>
      </c>
      <c r="K1195" s="120">
        <v>0</v>
      </c>
      <c r="L1195" s="301"/>
      <c r="M1195" s="301"/>
      <c r="N1195" s="304"/>
      <c r="O1195" s="304"/>
    </row>
    <row r="1196" spans="1:15" ht="15" customHeight="1">
      <c r="A1196" s="299" t="s">
        <v>48</v>
      </c>
      <c r="B1196" s="299"/>
      <c r="C1196" s="111">
        <f>SUM(E1196:G1196)</f>
        <v>0</v>
      </c>
      <c r="D1196" s="120">
        <v>0</v>
      </c>
      <c r="E1196" s="120">
        <v>0</v>
      </c>
      <c r="F1196" s="120">
        <v>0</v>
      </c>
      <c r="G1196" s="120">
        <v>0</v>
      </c>
      <c r="H1196" s="28">
        <f t="shared" si="306"/>
        <v>0</v>
      </c>
      <c r="I1196" s="120">
        <v>0</v>
      </c>
      <c r="J1196" s="120">
        <v>0</v>
      </c>
      <c r="K1196" s="120">
        <v>0</v>
      </c>
      <c r="L1196" s="301"/>
      <c r="M1196" s="301"/>
      <c r="N1196" s="304"/>
      <c r="O1196" s="304"/>
    </row>
    <row r="1197" spans="1:15" ht="15" customHeight="1">
      <c r="A1197" s="299" t="s">
        <v>49</v>
      </c>
      <c r="B1197" s="299"/>
      <c r="C1197" s="111">
        <f>SUM(E1197:G1197)</f>
        <v>0</v>
      </c>
      <c r="D1197" s="120">
        <v>0</v>
      </c>
      <c r="E1197" s="120">
        <v>0</v>
      </c>
      <c r="F1197" s="120">
        <v>0</v>
      </c>
      <c r="G1197" s="120">
        <v>0</v>
      </c>
      <c r="H1197" s="28">
        <f t="shared" si="306"/>
        <v>0</v>
      </c>
      <c r="I1197" s="120">
        <v>0</v>
      </c>
      <c r="J1197" s="120">
        <v>0</v>
      </c>
      <c r="K1197" s="120">
        <v>0</v>
      </c>
      <c r="L1197" s="302"/>
      <c r="M1197" s="302"/>
      <c r="N1197" s="305"/>
      <c r="O1197" s="305"/>
    </row>
    <row r="1198" spans="1:15" ht="48.75" customHeight="1">
      <c r="A1198" s="458" t="s">
        <v>400</v>
      </c>
      <c r="B1198" s="459"/>
      <c r="C1198" s="186"/>
      <c r="D1198" s="220"/>
      <c r="E1198" s="220"/>
      <c r="F1198" s="220"/>
      <c r="G1198" s="220"/>
      <c r="H1198" s="28"/>
      <c r="I1198" s="123"/>
      <c r="J1198" s="123"/>
      <c r="K1198" s="123"/>
      <c r="L1198" s="137"/>
      <c r="M1198" s="19"/>
      <c r="N1198" s="203"/>
      <c r="O1198" s="221" t="s">
        <v>251</v>
      </c>
    </row>
    <row r="1199" spans="1:15" ht="49.5" customHeight="1">
      <c r="A1199" s="458" t="s">
        <v>401</v>
      </c>
      <c r="B1199" s="459"/>
      <c r="C1199" s="186"/>
      <c r="D1199" s="220"/>
      <c r="E1199" s="220"/>
      <c r="F1199" s="220"/>
      <c r="G1199" s="220"/>
      <c r="H1199" s="28"/>
      <c r="I1199" s="123"/>
      <c r="J1199" s="123"/>
      <c r="K1199" s="123"/>
      <c r="L1199" s="137"/>
      <c r="M1199" s="19"/>
      <c r="N1199" s="203"/>
      <c r="O1199" s="221" t="s">
        <v>267</v>
      </c>
    </row>
    <row r="1200" spans="1:15" ht="81" customHeight="1">
      <c r="A1200" s="458" t="s">
        <v>402</v>
      </c>
      <c r="B1200" s="459"/>
      <c r="C1200" s="186"/>
      <c r="D1200" s="220"/>
      <c r="E1200" s="220"/>
      <c r="F1200" s="220"/>
      <c r="G1200" s="220"/>
      <c r="H1200" s="28"/>
      <c r="I1200" s="123"/>
      <c r="J1200" s="123"/>
      <c r="K1200" s="123"/>
      <c r="L1200" s="137"/>
      <c r="M1200" s="19"/>
      <c r="N1200" s="203"/>
      <c r="O1200" s="221" t="s">
        <v>397</v>
      </c>
    </row>
    <row r="1201" spans="1:15" ht="68.25" customHeight="1">
      <c r="A1201" s="455" t="s">
        <v>339</v>
      </c>
      <c r="B1201" s="456"/>
      <c r="C1201" s="194"/>
      <c r="D1201" s="194"/>
      <c r="E1201" s="194"/>
      <c r="F1201" s="194"/>
      <c r="G1201" s="194"/>
      <c r="H1201" s="28"/>
      <c r="I1201" s="190"/>
      <c r="J1201" s="190"/>
      <c r="K1201" s="190"/>
      <c r="L1201" s="454"/>
      <c r="M1201" s="454"/>
      <c r="N1201" s="452">
        <v>2014</v>
      </c>
      <c r="O1201" s="452">
        <v>2020</v>
      </c>
    </row>
    <row r="1202" spans="1:15" ht="15" customHeight="1">
      <c r="A1202" s="463" t="s">
        <v>52</v>
      </c>
      <c r="B1202" s="464"/>
      <c r="C1202" s="120">
        <f aca="true" t="shared" si="307" ref="C1202:K1202">C1203+C1204+C1208+C1209+C1210</f>
        <v>914526.0560599999</v>
      </c>
      <c r="D1202" s="120">
        <f t="shared" si="307"/>
        <v>85894.93</v>
      </c>
      <c r="E1202" s="120">
        <f t="shared" si="307"/>
        <v>88013.28086</v>
      </c>
      <c r="F1202" s="120">
        <f t="shared" si="307"/>
        <v>92551.52358000002</v>
      </c>
      <c r="G1202" s="120">
        <f t="shared" si="307"/>
        <v>84707.33162</v>
      </c>
      <c r="H1202" s="28">
        <f aca="true" t="shared" si="308" ref="H1202:H1265">I1202+J1202+K1202</f>
        <v>281679.495</v>
      </c>
      <c r="I1202" s="120">
        <f t="shared" si="307"/>
        <v>101853.565</v>
      </c>
      <c r="J1202" s="120">
        <f t="shared" si="307"/>
        <v>89912.965</v>
      </c>
      <c r="K1202" s="120">
        <f t="shared" si="307"/>
        <v>89912.965</v>
      </c>
      <c r="L1202" s="454"/>
      <c r="M1202" s="454"/>
      <c r="N1202" s="452"/>
      <c r="O1202" s="452"/>
    </row>
    <row r="1203" spans="1:15" ht="15" customHeight="1">
      <c r="A1203" s="463" t="s">
        <v>45</v>
      </c>
      <c r="B1203" s="464"/>
      <c r="C1203" s="112">
        <f>SUM(D1203:K1203)</f>
        <v>62431.2</v>
      </c>
      <c r="D1203" s="120">
        <f>D1213+D1220+D1227+D1234+D1241+D1248</f>
        <v>52471.1</v>
      </c>
      <c r="E1203" s="120">
        <f>E1213+E1220+E1227+E1234+E1241+E1248</f>
        <v>0</v>
      </c>
      <c r="F1203" s="120">
        <f>F1213+F1220+F1227+F1234+F1241+F1248</f>
        <v>9960.1</v>
      </c>
      <c r="G1203" s="120">
        <f>G1213+G1220+G1227+G1234+G1241+G1248</f>
        <v>0</v>
      </c>
      <c r="H1203" s="28">
        <f t="shared" si="308"/>
        <v>0</v>
      </c>
      <c r="I1203" s="120">
        <f>I1213+I1220+I1227+I1234+I1241+I1248</f>
        <v>0</v>
      </c>
      <c r="J1203" s="120">
        <f>J1213+J1220+J1227+J1234+J1241+J1248</f>
        <v>0</v>
      </c>
      <c r="K1203" s="120">
        <f>K1213+K1220+K1227+K1234+K1241+K1248</f>
        <v>0</v>
      </c>
      <c r="L1203" s="454"/>
      <c r="M1203" s="454"/>
      <c r="N1203" s="452"/>
      <c r="O1203" s="452"/>
    </row>
    <row r="1204" spans="1:15" ht="15" customHeight="1">
      <c r="A1204" s="463" t="s">
        <v>46</v>
      </c>
      <c r="B1204" s="464"/>
      <c r="C1204" s="112">
        <f>SUM(D1204:K1204)</f>
        <v>852094.8560599999</v>
      </c>
      <c r="D1204" s="120">
        <f aca="true" t="shared" si="309" ref="D1204:K1204">SUM(D1205:D1207)</f>
        <v>33423.83</v>
      </c>
      <c r="E1204" s="120">
        <f t="shared" si="309"/>
        <v>88013.28086</v>
      </c>
      <c r="F1204" s="120">
        <f t="shared" si="309"/>
        <v>82591.42358000002</v>
      </c>
      <c r="G1204" s="120">
        <f t="shared" si="309"/>
        <v>84707.33162</v>
      </c>
      <c r="H1204" s="28">
        <f t="shared" si="308"/>
        <v>281679.495</v>
      </c>
      <c r="I1204" s="120">
        <f t="shared" si="309"/>
        <v>101853.565</v>
      </c>
      <c r="J1204" s="120">
        <f t="shared" si="309"/>
        <v>89912.965</v>
      </c>
      <c r="K1204" s="120">
        <f t="shared" si="309"/>
        <v>89912.965</v>
      </c>
      <c r="L1204" s="454"/>
      <c r="M1204" s="454"/>
      <c r="N1204" s="452"/>
      <c r="O1204" s="452"/>
    </row>
    <row r="1205" spans="1:15" ht="15" customHeight="1">
      <c r="A1205" s="463" t="s">
        <v>46</v>
      </c>
      <c r="B1205" s="464"/>
      <c r="C1205" s="112">
        <f>SUM(D1205:K1205)</f>
        <v>573333.0849999998</v>
      </c>
      <c r="D1205" s="120">
        <f>D1214</f>
        <v>1453</v>
      </c>
      <c r="E1205" s="120">
        <f>E1214+E1242</f>
        <v>57423.274</v>
      </c>
      <c r="F1205" s="120">
        <f>F1214+F1242</f>
        <v>60703.200000000004</v>
      </c>
      <c r="G1205" s="120">
        <f>G1214+G1242</f>
        <v>60765.820999999996</v>
      </c>
      <c r="H1205" s="28">
        <f t="shared" si="308"/>
        <v>196493.895</v>
      </c>
      <c r="I1205" s="120">
        <f>I1214+I1242</f>
        <v>73097.965</v>
      </c>
      <c r="J1205" s="120">
        <f>J1214+J1242</f>
        <v>61697.965</v>
      </c>
      <c r="K1205" s="120">
        <f>K1214+K1242</f>
        <v>61697.965</v>
      </c>
      <c r="L1205" s="454"/>
      <c r="M1205" s="454"/>
      <c r="N1205" s="452"/>
      <c r="O1205" s="452"/>
    </row>
    <row r="1206" spans="1:15" ht="16.5" customHeight="1">
      <c r="A1206" s="463" t="s">
        <v>46</v>
      </c>
      <c r="B1206" s="464"/>
      <c r="C1206" s="112">
        <f>SUM(D1206:K1206)</f>
        <v>236572.55326000002</v>
      </c>
      <c r="D1206" s="120">
        <f>D1221+D1228+D1235</f>
        <v>15170.23</v>
      </c>
      <c r="E1206" s="120">
        <f>E1221+E1228+E1235</f>
        <v>13965.412639999999</v>
      </c>
      <c r="F1206" s="120">
        <f>F1221+F1228+F1235</f>
        <v>14770</v>
      </c>
      <c r="G1206" s="120">
        <f>G1221+G1228+G1235+9245.8</f>
        <v>22295.710619999998</v>
      </c>
      <c r="H1206" s="28">
        <f t="shared" si="308"/>
        <v>85185.6</v>
      </c>
      <c r="I1206" s="120">
        <f>I1221+I1228+I1235+I1249</f>
        <v>28755.6</v>
      </c>
      <c r="J1206" s="120">
        <f>J1221+J1228+J1235+J1249</f>
        <v>28215</v>
      </c>
      <c r="K1206" s="120">
        <f>K1221+K1228+K1235+K1249</f>
        <v>28215</v>
      </c>
      <c r="L1206" s="454"/>
      <c r="M1206" s="454"/>
      <c r="N1206" s="452"/>
      <c r="O1206" s="452"/>
    </row>
    <row r="1207" spans="1:15" ht="15" customHeight="1">
      <c r="A1207" s="299" t="s">
        <v>46</v>
      </c>
      <c r="B1207" s="299"/>
      <c r="C1207" s="112">
        <f>SUM(D1207:K1207)</f>
        <v>42189.2178</v>
      </c>
      <c r="D1207" s="120">
        <f>D1249</f>
        <v>16800.6</v>
      </c>
      <c r="E1207" s="120">
        <f>E1249</f>
        <v>16624.59422</v>
      </c>
      <c r="F1207" s="120">
        <f>F1249</f>
        <v>7118.22358</v>
      </c>
      <c r="G1207" s="120">
        <f>G1249-9245.8</f>
        <v>1645.800000000001</v>
      </c>
      <c r="H1207" s="28">
        <f t="shared" si="308"/>
        <v>0</v>
      </c>
      <c r="I1207" s="120">
        <v>0</v>
      </c>
      <c r="J1207" s="120">
        <v>0</v>
      </c>
      <c r="K1207" s="120">
        <v>0</v>
      </c>
      <c r="L1207" s="454"/>
      <c r="M1207" s="454"/>
      <c r="N1207" s="452"/>
      <c r="O1207" s="452"/>
    </row>
    <row r="1208" spans="1:15" ht="15" customHeight="1">
      <c r="A1208" s="299" t="s">
        <v>47</v>
      </c>
      <c r="B1208" s="299"/>
      <c r="C1208" s="111">
        <f>SUM(E1208:G1208)</f>
        <v>0</v>
      </c>
      <c r="D1208" s="120">
        <f aca="true" t="shared" si="310" ref="D1208:G1210">D1215+D1222+D1229+D1236+D1243+D1250</f>
        <v>0</v>
      </c>
      <c r="E1208" s="120">
        <f t="shared" si="310"/>
        <v>0</v>
      </c>
      <c r="F1208" s="120">
        <f t="shared" si="310"/>
        <v>0</v>
      </c>
      <c r="G1208" s="120">
        <f t="shared" si="310"/>
        <v>0</v>
      </c>
      <c r="H1208" s="28">
        <f t="shared" si="308"/>
        <v>0</v>
      </c>
      <c r="I1208" s="120">
        <f aca="true" t="shared" si="311" ref="I1208:K1210">I1215+I1222+I1229+I1236+I1243+I1250</f>
        <v>0</v>
      </c>
      <c r="J1208" s="120">
        <f t="shared" si="311"/>
        <v>0</v>
      </c>
      <c r="K1208" s="120">
        <f t="shared" si="311"/>
        <v>0</v>
      </c>
      <c r="L1208" s="454"/>
      <c r="M1208" s="454"/>
      <c r="N1208" s="452"/>
      <c r="O1208" s="452"/>
    </row>
    <row r="1209" spans="1:15" ht="15" customHeight="1">
      <c r="A1209" s="299" t="s">
        <v>48</v>
      </c>
      <c r="B1209" s="299"/>
      <c r="C1209" s="111">
        <f>SUM(E1209:G1209)</f>
        <v>0</v>
      </c>
      <c r="D1209" s="120">
        <f t="shared" si="310"/>
        <v>0</v>
      </c>
      <c r="E1209" s="120">
        <f t="shared" si="310"/>
        <v>0</v>
      </c>
      <c r="F1209" s="120">
        <f t="shared" si="310"/>
        <v>0</v>
      </c>
      <c r="G1209" s="120">
        <f t="shared" si="310"/>
        <v>0</v>
      </c>
      <c r="H1209" s="28">
        <f t="shared" si="308"/>
        <v>0</v>
      </c>
      <c r="I1209" s="120">
        <f t="shared" si="311"/>
        <v>0</v>
      </c>
      <c r="J1209" s="120">
        <f t="shared" si="311"/>
        <v>0</v>
      </c>
      <c r="K1209" s="120">
        <f t="shared" si="311"/>
        <v>0</v>
      </c>
      <c r="L1209" s="454"/>
      <c r="M1209" s="454"/>
      <c r="N1209" s="452"/>
      <c r="O1209" s="452"/>
    </row>
    <row r="1210" spans="1:15" ht="15" customHeight="1">
      <c r="A1210" s="299" t="s">
        <v>49</v>
      </c>
      <c r="B1210" s="299"/>
      <c r="C1210" s="111">
        <f>SUM(E1210:G1210)</f>
        <v>0</v>
      </c>
      <c r="D1210" s="120">
        <f t="shared" si="310"/>
        <v>0</v>
      </c>
      <c r="E1210" s="120">
        <f t="shared" si="310"/>
        <v>0</v>
      </c>
      <c r="F1210" s="120">
        <f t="shared" si="310"/>
        <v>0</v>
      </c>
      <c r="G1210" s="120">
        <f t="shared" si="310"/>
        <v>0</v>
      </c>
      <c r="H1210" s="28">
        <f t="shared" si="308"/>
        <v>0</v>
      </c>
      <c r="I1210" s="120">
        <f t="shared" si="311"/>
        <v>0</v>
      </c>
      <c r="J1210" s="120">
        <f t="shared" si="311"/>
        <v>0</v>
      </c>
      <c r="K1210" s="120">
        <f t="shared" si="311"/>
        <v>0</v>
      </c>
      <c r="L1210" s="454"/>
      <c r="M1210" s="454"/>
      <c r="N1210" s="452"/>
      <c r="O1210" s="452"/>
    </row>
    <row r="1211" spans="1:15" ht="91.5" customHeight="1">
      <c r="A1211" s="340" t="s">
        <v>340</v>
      </c>
      <c r="B1211" s="341"/>
      <c r="C1211" s="189"/>
      <c r="D1211" s="189"/>
      <c r="E1211" s="189"/>
      <c r="F1211" s="189"/>
      <c r="G1211" s="189"/>
      <c r="H1211" s="28"/>
      <c r="I1211" s="189"/>
      <c r="J1211" s="189"/>
      <c r="K1211" s="189"/>
      <c r="L1211" s="454" t="s">
        <v>97</v>
      </c>
      <c r="M1211" s="454"/>
      <c r="N1211" s="303" t="s">
        <v>315</v>
      </c>
      <c r="O1211" s="303" t="s">
        <v>251</v>
      </c>
    </row>
    <row r="1212" spans="1:15" ht="15" customHeight="1">
      <c r="A1212" s="299" t="s">
        <v>52</v>
      </c>
      <c r="B1212" s="299"/>
      <c r="C1212" s="120">
        <f aca="true" t="shared" si="312" ref="C1212:J1212">SUM(C1213:C1217)</f>
        <v>557422.7493999999</v>
      </c>
      <c r="D1212" s="120">
        <f t="shared" si="312"/>
        <v>48029.1</v>
      </c>
      <c r="E1212" s="120">
        <f t="shared" si="312"/>
        <v>50770</v>
      </c>
      <c r="F1212" s="120">
        <f t="shared" si="312"/>
        <v>63334.1296</v>
      </c>
      <c r="G1212" s="120">
        <f t="shared" si="312"/>
        <v>52815.9698</v>
      </c>
      <c r="H1212" s="28">
        <f t="shared" si="308"/>
        <v>117438.81</v>
      </c>
      <c r="I1212" s="120">
        <f t="shared" si="312"/>
        <v>63640.845</v>
      </c>
      <c r="J1212" s="120">
        <f t="shared" si="312"/>
        <v>53797.965</v>
      </c>
      <c r="K1212" s="120">
        <v>0</v>
      </c>
      <c r="L1212" s="454"/>
      <c r="M1212" s="454"/>
      <c r="N1212" s="304"/>
      <c r="O1212" s="304"/>
    </row>
    <row r="1213" spans="1:15" ht="18" customHeight="1">
      <c r="A1213" s="299" t="s">
        <v>45</v>
      </c>
      <c r="B1213" s="299"/>
      <c r="C1213" s="112">
        <f>SUM(D1213:K1213)</f>
        <v>56536.2</v>
      </c>
      <c r="D1213" s="120">
        <v>46576.1</v>
      </c>
      <c r="E1213" s="120">
        <v>0</v>
      </c>
      <c r="F1213" s="120">
        <v>9960.1</v>
      </c>
      <c r="G1213" s="126">
        <v>0</v>
      </c>
      <c r="H1213" s="28">
        <f t="shared" si="308"/>
        <v>0</v>
      </c>
      <c r="I1213" s="120">
        <v>0</v>
      </c>
      <c r="J1213" s="120">
        <v>0</v>
      </c>
      <c r="K1213" s="120">
        <v>0</v>
      </c>
      <c r="L1213" s="454"/>
      <c r="M1213" s="454"/>
      <c r="N1213" s="304"/>
      <c r="O1213" s="304"/>
    </row>
    <row r="1214" spans="1:15" ht="15" customHeight="1">
      <c r="A1214" s="299" t="s">
        <v>46</v>
      </c>
      <c r="B1214" s="299"/>
      <c r="C1214" s="112">
        <f>SUM(D1214:K1214)</f>
        <v>500886.5493999999</v>
      </c>
      <c r="D1214" s="120">
        <f>453+1000</f>
        <v>1453</v>
      </c>
      <c r="E1214" s="120">
        <v>50770</v>
      </c>
      <c r="F1214" s="120">
        <v>53374.0296</v>
      </c>
      <c r="G1214" s="120">
        <v>52815.9698</v>
      </c>
      <c r="H1214" s="28">
        <f t="shared" si="308"/>
        <v>171236.775</v>
      </c>
      <c r="I1214" s="120">
        <v>63640.845</v>
      </c>
      <c r="J1214" s="120">
        <v>53797.965</v>
      </c>
      <c r="K1214" s="120">
        <v>53797.965</v>
      </c>
      <c r="L1214" s="454"/>
      <c r="M1214" s="454"/>
      <c r="N1214" s="304"/>
      <c r="O1214" s="304"/>
    </row>
    <row r="1215" spans="1:15" ht="15" customHeight="1">
      <c r="A1215" s="299" t="s">
        <v>47</v>
      </c>
      <c r="B1215" s="299"/>
      <c r="C1215" s="111">
        <f>SUM(E1215:G1215)</f>
        <v>0</v>
      </c>
      <c r="D1215" s="120">
        <v>0</v>
      </c>
      <c r="E1215" s="120">
        <v>0</v>
      </c>
      <c r="F1215" s="120">
        <v>0</v>
      </c>
      <c r="G1215" s="120">
        <v>0</v>
      </c>
      <c r="H1215" s="28">
        <f t="shared" si="308"/>
        <v>0</v>
      </c>
      <c r="I1215" s="120">
        <v>0</v>
      </c>
      <c r="J1215" s="120">
        <v>0</v>
      </c>
      <c r="K1215" s="120">
        <v>0</v>
      </c>
      <c r="L1215" s="454"/>
      <c r="M1215" s="454"/>
      <c r="N1215" s="304"/>
      <c r="O1215" s="304"/>
    </row>
    <row r="1216" spans="1:15" ht="15" customHeight="1">
      <c r="A1216" s="299" t="s">
        <v>48</v>
      </c>
      <c r="B1216" s="299"/>
      <c r="C1216" s="111">
        <f>SUM(E1216:G1216)</f>
        <v>0</v>
      </c>
      <c r="D1216" s="120">
        <v>0</v>
      </c>
      <c r="E1216" s="120">
        <v>0</v>
      </c>
      <c r="F1216" s="120">
        <v>0</v>
      </c>
      <c r="G1216" s="120">
        <v>0</v>
      </c>
      <c r="H1216" s="28">
        <f t="shared" si="308"/>
        <v>0</v>
      </c>
      <c r="I1216" s="120">
        <v>0</v>
      </c>
      <c r="J1216" s="120">
        <v>0</v>
      </c>
      <c r="K1216" s="120">
        <v>0</v>
      </c>
      <c r="L1216" s="454"/>
      <c r="M1216" s="454"/>
      <c r="N1216" s="304"/>
      <c r="O1216" s="304"/>
    </row>
    <row r="1217" spans="1:15" ht="15" customHeight="1">
      <c r="A1217" s="299" t="s">
        <v>49</v>
      </c>
      <c r="B1217" s="299"/>
      <c r="C1217" s="111">
        <f>SUM(E1217:G1217)</f>
        <v>0</v>
      </c>
      <c r="D1217" s="120">
        <v>0</v>
      </c>
      <c r="E1217" s="120">
        <v>0</v>
      </c>
      <c r="F1217" s="120">
        <v>0</v>
      </c>
      <c r="G1217" s="120">
        <v>0</v>
      </c>
      <c r="H1217" s="28">
        <f t="shared" si="308"/>
        <v>0</v>
      </c>
      <c r="I1217" s="120">
        <v>0</v>
      </c>
      <c r="J1217" s="120">
        <v>0</v>
      </c>
      <c r="K1217" s="120">
        <v>0</v>
      </c>
      <c r="L1217" s="454"/>
      <c r="M1217" s="454"/>
      <c r="N1217" s="305"/>
      <c r="O1217" s="305"/>
    </row>
    <row r="1218" spans="1:15" ht="78.75" customHeight="1">
      <c r="A1218" s="340" t="s">
        <v>341</v>
      </c>
      <c r="B1218" s="341"/>
      <c r="C1218" s="189"/>
      <c r="D1218" s="189"/>
      <c r="E1218" s="189"/>
      <c r="F1218" s="189"/>
      <c r="G1218" s="189"/>
      <c r="H1218" s="28"/>
      <c r="I1218" s="189"/>
      <c r="J1218" s="189"/>
      <c r="K1218" s="189"/>
      <c r="L1218" s="454" t="s">
        <v>224</v>
      </c>
      <c r="M1218" s="454"/>
      <c r="N1218" s="303" t="s">
        <v>315</v>
      </c>
      <c r="O1218" s="303" t="s">
        <v>251</v>
      </c>
    </row>
    <row r="1219" spans="1:15" ht="15" customHeight="1">
      <c r="A1219" s="299" t="s">
        <v>52</v>
      </c>
      <c r="B1219" s="299"/>
      <c r="C1219" s="120">
        <f aca="true" t="shared" si="313" ref="C1219:K1219">SUM(C1220:C1224)</f>
        <v>137240.29326</v>
      </c>
      <c r="D1219" s="120">
        <f t="shared" si="313"/>
        <v>11298.49</v>
      </c>
      <c r="E1219" s="120">
        <f t="shared" si="313"/>
        <v>8420.69264</v>
      </c>
      <c r="F1219" s="120">
        <f t="shared" si="313"/>
        <v>14770</v>
      </c>
      <c r="G1219" s="120">
        <f>SUM(G1220:G1224)</f>
        <v>13049.91062</v>
      </c>
      <c r="H1219" s="28">
        <f t="shared" si="308"/>
        <v>44850.6</v>
      </c>
      <c r="I1219" s="120">
        <f>SUM(I1220:I1224)</f>
        <v>15310.6</v>
      </c>
      <c r="J1219" s="120">
        <f>SUM(J1220:J1224)</f>
        <v>14770</v>
      </c>
      <c r="K1219" s="120">
        <f t="shared" si="313"/>
        <v>14770</v>
      </c>
      <c r="L1219" s="454"/>
      <c r="M1219" s="454"/>
      <c r="N1219" s="304"/>
      <c r="O1219" s="304"/>
    </row>
    <row r="1220" spans="1:15" ht="19.5" customHeight="1">
      <c r="A1220" s="299" t="s">
        <v>45</v>
      </c>
      <c r="B1220" s="299"/>
      <c r="C1220" s="111">
        <f>SUM(E1220:G1220)</f>
        <v>0</v>
      </c>
      <c r="D1220" s="120">
        <v>0</v>
      </c>
      <c r="E1220" s="118">
        <v>0</v>
      </c>
      <c r="F1220" s="118">
        <v>0</v>
      </c>
      <c r="G1220" s="118">
        <v>0</v>
      </c>
      <c r="H1220" s="28">
        <f t="shared" si="308"/>
        <v>0</v>
      </c>
      <c r="I1220" s="118">
        <v>0</v>
      </c>
      <c r="J1220" s="118">
        <v>0</v>
      </c>
      <c r="K1220" s="120">
        <v>0</v>
      </c>
      <c r="L1220" s="454"/>
      <c r="M1220" s="454"/>
      <c r="N1220" s="304"/>
      <c r="O1220" s="304"/>
    </row>
    <row r="1221" spans="1:15" ht="18.75" customHeight="1">
      <c r="A1221" s="299" t="s">
        <v>46</v>
      </c>
      <c r="B1221" s="299"/>
      <c r="C1221" s="112">
        <f>SUM(D1221:K1221)</f>
        <v>137240.29326</v>
      </c>
      <c r="D1221" s="120">
        <v>11298.49</v>
      </c>
      <c r="E1221" s="123">
        <v>8420.69264</v>
      </c>
      <c r="F1221" s="120">
        <v>14770</v>
      </c>
      <c r="G1221" s="120">
        <v>13049.91062</v>
      </c>
      <c r="H1221" s="28">
        <f t="shared" si="308"/>
        <v>44850.6</v>
      </c>
      <c r="I1221" s="120">
        <v>15310.6</v>
      </c>
      <c r="J1221" s="120">
        <v>14770</v>
      </c>
      <c r="K1221" s="120">
        <v>14770</v>
      </c>
      <c r="L1221" s="454"/>
      <c r="M1221" s="454"/>
      <c r="N1221" s="304"/>
      <c r="O1221" s="304"/>
    </row>
    <row r="1222" spans="1:15" ht="15" customHeight="1">
      <c r="A1222" s="299" t="s">
        <v>47</v>
      </c>
      <c r="B1222" s="299"/>
      <c r="C1222" s="111">
        <f>SUM(E1222:G1222)</f>
        <v>0</v>
      </c>
      <c r="D1222" s="120">
        <v>0</v>
      </c>
      <c r="E1222" s="120">
        <v>0</v>
      </c>
      <c r="F1222" s="120">
        <v>0</v>
      </c>
      <c r="G1222" s="120">
        <v>0</v>
      </c>
      <c r="H1222" s="28">
        <f t="shared" si="308"/>
        <v>0</v>
      </c>
      <c r="I1222" s="120">
        <v>0</v>
      </c>
      <c r="J1222" s="120">
        <v>0</v>
      </c>
      <c r="K1222" s="120">
        <v>0</v>
      </c>
      <c r="L1222" s="454"/>
      <c r="M1222" s="454"/>
      <c r="N1222" s="304"/>
      <c r="O1222" s="304"/>
    </row>
    <row r="1223" spans="1:15" ht="15" customHeight="1">
      <c r="A1223" s="299" t="s">
        <v>48</v>
      </c>
      <c r="B1223" s="299"/>
      <c r="C1223" s="111">
        <f>SUM(E1223:G1223)</f>
        <v>0</v>
      </c>
      <c r="D1223" s="120">
        <v>0</v>
      </c>
      <c r="E1223" s="120">
        <v>0</v>
      </c>
      <c r="F1223" s="120">
        <v>0</v>
      </c>
      <c r="G1223" s="120">
        <v>0</v>
      </c>
      <c r="H1223" s="28">
        <f t="shared" si="308"/>
        <v>0</v>
      </c>
      <c r="I1223" s="120">
        <v>0</v>
      </c>
      <c r="J1223" s="120">
        <v>0</v>
      </c>
      <c r="K1223" s="120">
        <v>0</v>
      </c>
      <c r="L1223" s="454"/>
      <c r="M1223" s="454"/>
      <c r="N1223" s="304"/>
      <c r="O1223" s="304"/>
    </row>
    <row r="1224" spans="1:15" ht="15" customHeight="1">
      <c r="A1224" s="299" t="s">
        <v>49</v>
      </c>
      <c r="B1224" s="299"/>
      <c r="C1224" s="111">
        <f>SUM(E1224:G1224)</f>
        <v>0</v>
      </c>
      <c r="D1224" s="120">
        <v>0</v>
      </c>
      <c r="E1224" s="120">
        <v>0</v>
      </c>
      <c r="F1224" s="120">
        <v>0</v>
      </c>
      <c r="G1224" s="120">
        <v>0</v>
      </c>
      <c r="H1224" s="28">
        <f t="shared" si="308"/>
        <v>0</v>
      </c>
      <c r="I1224" s="120">
        <v>0</v>
      </c>
      <c r="J1224" s="120">
        <v>0</v>
      </c>
      <c r="K1224" s="120">
        <v>0</v>
      </c>
      <c r="L1224" s="454"/>
      <c r="M1224" s="454"/>
      <c r="N1224" s="305"/>
      <c r="O1224" s="305"/>
    </row>
    <row r="1225" spans="1:15" ht="57" customHeight="1">
      <c r="A1225" s="340" t="s">
        <v>343</v>
      </c>
      <c r="B1225" s="341"/>
      <c r="C1225" s="189"/>
      <c r="D1225" s="189"/>
      <c r="E1225" s="189"/>
      <c r="F1225" s="189"/>
      <c r="G1225" s="189"/>
      <c r="H1225" s="28"/>
      <c r="I1225" s="189"/>
      <c r="J1225" s="189"/>
      <c r="K1225" s="189"/>
      <c r="L1225" s="454" t="s">
        <v>224</v>
      </c>
      <c r="M1225" s="454"/>
      <c r="N1225" s="452"/>
      <c r="O1225" s="452"/>
    </row>
    <row r="1226" spans="1:15" ht="15" customHeight="1">
      <c r="A1226" s="299" t="s">
        <v>52</v>
      </c>
      <c r="B1226" s="299"/>
      <c r="C1226" s="120">
        <f aca="true" t="shared" si="314" ref="C1226:K1226">SUM(C1227:C1231)</f>
        <v>9067.32</v>
      </c>
      <c r="D1226" s="120">
        <f t="shared" si="314"/>
        <v>3522.6</v>
      </c>
      <c r="E1226" s="120">
        <f t="shared" si="314"/>
        <v>5544.72</v>
      </c>
      <c r="F1226" s="120">
        <f t="shared" si="314"/>
        <v>0</v>
      </c>
      <c r="G1226" s="120">
        <f>SUM(G1227:G1231)</f>
        <v>0</v>
      </c>
      <c r="H1226" s="28">
        <f t="shared" si="308"/>
        <v>0</v>
      </c>
      <c r="I1226" s="120">
        <f>SUM(I1227:I1231)</f>
        <v>0</v>
      </c>
      <c r="J1226" s="120">
        <f>SUM(J1227:J1231)</f>
        <v>0</v>
      </c>
      <c r="K1226" s="120">
        <f t="shared" si="314"/>
        <v>0</v>
      </c>
      <c r="L1226" s="454"/>
      <c r="M1226" s="454"/>
      <c r="N1226" s="452"/>
      <c r="O1226" s="452"/>
    </row>
    <row r="1227" spans="1:15" ht="17.25" customHeight="1">
      <c r="A1227" s="299" t="s">
        <v>45</v>
      </c>
      <c r="B1227" s="299"/>
      <c r="C1227" s="111">
        <f>SUM(E1227:G1227)</f>
        <v>0</v>
      </c>
      <c r="D1227" s="120">
        <v>0</v>
      </c>
      <c r="E1227" s="118">
        <v>0</v>
      </c>
      <c r="F1227" s="118">
        <v>0</v>
      </c>
      <c r="G1227" s="118">
        <v>0</v>
      </c>
      <c r="H1227" s="28">
        <f t="shared" si="308"/>
        <v>0</v>
      </c>
      <c r="I1227" s="118">
        <v>0</v>
      </c>
      <c r="J1227" s="118">
        <v>0</v>
      </c>
      <c r="K1227" s="120">
        <v>0</v>
      </c>
      <c r="L1227" s="454"/>
      <c r="M1227" s="454"/>
      <c r="N1227" s="452"/>
      <c r="O1227" s="452"/>
    </row>
    <row r="1228" spans="1:15" ht="15" customHeight="1">
      <c r="A1228" s="299" t="s">
        <v>46</v>
      </c>
      <c r="B1228" s="299"/>
      <c r="C1228" s="112">
        <f>SUM(D1228:K1228)</f>
        <v>9067.32</v>
      </c>
      <c r="D1228" s="120">
        <v>3522.6</v>
      </c>
      <c r="E1228" s="125">
        <v>5544.72</v>
      </c>
      <c r="F1228" s="120">
        <v>0</v>
      </c>
      <c r="G1228" s="120">
        <v>0</v>
      </c>
      <c r="H1228" s="28">
        <f t="shared" si="308"/>
        <v>0</v>
      </c>
      <c r="I1228" s="120">
        <v>0</v>
      </c>
      <c r="J1228" s="120">
        <v>0</v>
      </c>
      <c r="K1228" s="120">
        <v>0</v>
      </c>
      <c r="L1228" s="454"/>
      <c r="M1228" s="454"/>
      <c r="N1228" s="452"/>
      <c r="O1228" s="452"/>
    </row>
    <row r="1229" spans="1:15" ht="15" customHeight="1">
      <c r="A1229" s="299" t="s">
        <v>47</v>
      </c>
      <c r="B1229" s="299"/>
      <c r="C1229" s="111">
        <f>SUM(E1229:G1229)</f>
        <v>0</v>
      </c>
      <c r="D1229" s="120">
        <v>0</v>
      </c>
      <c r="E1229" s="120">
        <v>0</v>
      </c>
      <c r="F1229" s="120">
        <v>0</v>
      </c>
      <c r="G1229" s="120">
        <v>0</v>
      </c>
      <c r="H1229" s="28">
        <f t="shared" si="308"/>
        <v>0</v>
      </c>
      <c r="I1229" s="120">
        <v>0</v>
      </c>
      <c r="J1229" s="120">
        <v>0</v>
      </c>
      <c r="K1229" s="120">
        <v>0</v>
      </c>
      <c r="L1229" s="454"/>
      <c r="M1229" s="454"/>
      <c r="N1229" s="452"/>
      <c r="O1229" s="452"/>
    </row>
    <row r="1230" spans="1:15" ht="15" customHeight="1">
      <c r="A1230" s="299" t="s">
        <v>48</v>
      </c>
      <c r="B1230" s="299"/>
      <c r="C1230" s="111">
        <f>SUM(E1230:G1230)</f>
        <v>0</v>
      </c>
      <c r="D1230" s="120">
        <v>0</v>
      </c>
      <c r="E1230" s="120">
        <v>0</v>
      </c>
      <c r="F1230" s="120">
        <v>0</v>
      </c>
      <c r="G1230" s="120">
        <v>0</v>
      </c>
      <c r="H1230" s="28">
        <f t="shared" si="308"/>
        <v>0</v>
      </c>
      <c r="I1230" s="120">
        <v>0</v>
      </c>
      <c r="J1230" s="120">
        <v>0</v>
      </c>
      <c r="K1230" s="120">
        <v>0</v>
      </c>
      <c r="L1230" s="454"/>
      <c r="M1230" s="454"/>
      <c r="N1230" s="452"/>
      <c r="O1230" s="452"/>
    </row>
    <row r="1231" spans="1:15" ht="15" customHeight="1">
      <c r="A1231" s="299" t="s">
        <v>49</v>
      </c>
      <c r="B1231" s="299"/>
      <c r="C1231" s="111">
        <f>SUM(E1231:G1231)</f>
        <v>0</v>
      </c>
      <c r="D1231" s="120">
        <v>0</v>
      </c>
      <c r="E1231" s="120">
        <v>0</v>
      </c>
      <c r="F1231" s="120">
        <v>0</v>
      </c>
      <c r="G1231" s="120">
        <v>0</v>
      </c>
      <c r="H1231" s="28">
        <f t="shared" si="308"/>
        <v>0</v>
      </c>
      <c r="I1231" s="120">
        <v>0</v>
      </c>
      <c r="J1231" s="120">
        <v>0</v>
      </c>
      <c r="K1231" s="120">
        <v>0</v>
      </c>
      <c r="L1231" s="454"/>
      <c r="M1231" s="454"/>
      <c r="N1231" s="452"/>
      <c r="O1231" s="452"/>
    </row>
    <row r="1232" spans="1:15" ht="57" customHeight="1">
      <c r="A1232" s="340" t="s">
        <v>344</v>
      </c>
      <c r="B1232" s="341"/>
      <c r="C1232" s="189"/>
      <c r="D1232" s="189"/>
      <c r="E1232" s="189"/>
      <c r="F1232" s="189"/>
      <c r="G1232" s="189"/>
      <c r="H1232" s="28"/>
      <c r="I1232" s="189"/>
      <c r="J1232" s="189"/>
      <c r="K1232" s="189"/>
      <c r="L1232" s="454" t="s">
        <v>224</v>
      </c>
      <c r="M1232" s="454"/>
      <c r="N1232" s="452"/>
      <c r="O1232" s="452"/>
    </row>
    <row r="1233" spans="1:15" ht="15" customHeight="1">
      <c r="A1233" s="299" t="s">
        <v>52</v>
      </c>
      <c r="B1233" s="299"/>
      <c r="C1233" s="120">
        <f aca="true" t="shared" si="315" ref="C1233:K1233">SUM(C1234:C1238)</f>
        <v>0</v>
      </c>
      <c r="D1233" s="120">
        <f t="shared" si="315"/>
        <v>349.14</v>
      </c>
      <c r="E1233" s="120">
        <f t="shared" si="315"/>
        <v>0</v>
      </c>
      <c r="F1233" s="120">
        <f t="shared" si="315"/>
        <v>0</v>
      </c>
      <c r="G1233" s="126">
        <f t="shared" si="315"/>
        <v>0</v>
      </c>
      <c r="H1233" s="28">
        <f t="shared" si="308"/>
        <v>0</v>
      </c>
      <c r="I1233" s="120">
        <f t="shared" si="315"/>
        <v>0</v>
      </c>
      <c r="J1233" s="120">
        <f t="shared" si="315"/>
        <v>0</v>
      </c>
      <c r="K1233" s="120">
        <f t="shared" si="315"/>
        <v>0</v>
      </c>
      <c r="L1233" s="454"/>
      <c r="M1233" s="454"/>
      <c r="N1233" s="452"/>
      <c r="O1233" s="452"/>
    </row>
    <row r="1234" spans="1:15" ht="14.25" customHeight="1">
      <c r="A1234" s="299" t="s">
        <v>45</v>
      </c>
      <c r="B1234" s="299"/>
      <c r="C1234" s="111">
        <f>SUM(E1234:G1234)</f>
        <v>0</v>
      </c>
      <c r="D1234" s="120">
        <v>0</v>
      </c>
      <c r="E1234" s="118">
        <v>0</v>
      </c>
      <c r="F1234" s="118">
        <v>0</v>
      </c>
      <c r="G1234" s="126">
        <v>0</v>
      </c>
      <c r="H1234" s="28">
        <f t="shared" si="308"/>
        <v>0</v>
      </c>
      <c r="I1234" s="120">
        <v>0</v>
      </c>
      <c r="J1234" s="120">
        <v>0</v>
      </c>
      <c r="K1234" s="120">
        <v>0</v>
      </c>
      <c r="L1234" s="454"/>
      <c r="M1234" s="454"/>
      <c r="N1234" s="452"/>
      <c r="O1234" s="452"/>
    </row>
    <row r="1235" spans="1:15" ht="15" customHeight="1">
      <c r="A1235" s="299" t="s">
        <v>46</v>
      </c>
      <c r="B1235" s="299"/>
      <c r="C1235" s="111">
        <f>SUM(E1235:G1235)</f>
        <v>0</v>
      </c>
      <c r="D1235" s="120">
        <v>349.14</v>
      </c>
      <c r="E1235" s="120">
        <v>0</v>
      </c>
      <c r="F1235" s="120">
        <v>0</v>
      </c>
      <c r="G1235" s="126">
        <v>0</v>
      </c>
      <c r="H1235" s="28">
        <f t="shared" si="308"/>
        <v>0</v>
      </c>
      <c r="I1235" s="120">
        <v>0</v>
      </c>
      <c r="J1235" s="120">
        <v>0</v>
      </c>
      <c r="K1235" s="120">
        <v>0</v>
      </c>
      <c r="L1235" s="454"/>
      <c r="M1235" s="454"/>
      <c r="N1235" s="452"/>
      <c r="O1235" s="452"/>
    </row>
    <row r="1236" spans="1:15" ht="15" customHeight="1">
      <c r="A1236" s="299" t="s">
        <v>47</v>
      </c>
      <c r="B1236" s="299"/>
      <c r="C1236" s="111">
        <f>SUM(E1236:G1236)</f>
        <v>0</v>
      </c>
      <c r="D1236" s="120">
        <v>0</v>
      </c>
      <c r="E1236" s="120">
        <v>0</v>
      </c>
      <c r="F1236" s="120">
        <v>0</v>
      </c>
      <c r="G1236" s="126">
        <v>0</v>
      </c>
      <c r="H1236" s="28">
        <f t="shared" si="308"/>
        <v>0</v>
      </c>
      <c r="I1236" s="120">
        <v>0</v>
      </c>
      <c r="J1236" s="120">
        <v>0</v>
      </c>
      <c r="K1236" s="120">
        <v>0</v>
      </c>
      <c r="L1236" s="454"/>
      <c r="M1236" s="454"/>
      <c r="N1236" s="452"/>
      <c r="O1236" s="452"/>
    </row>
    <row r="1237" spans="1:15" ht="15" customHeight="1">
      <c r="A1237" s="299" t="s">
        <v>48</v>
      </c>
      <c r="B1237" s="299"/>
      <c r="C1237" s="111">
        <f>SUM(E1237:G1237)</f>
        <v>0</v>
      </c>
      <c r="D1237" s="120">
        <v>0</v>
      </c>
      <c r="E1237" s="120">
        <v>0</v>
      </c>
      <c r="F1237" s="120">
        <v>0</v>
      </c>
      <c r="G1237" s="126">
        <v>0</v>
      </c>
      <c r="H1237" s="28">
        <f t="shared" si="308"/>
        <v>0</v>
      </c>
      <c r="I1237" s="120">
        <v>0</v>
      </c>
      <c r="J1237" s="120">
        <v>0</v>
      </c>
      <c r="K1237" s="120">
        <v>0</v>
      </c>
      <c r="L1237" s="454"/>
      <c r="M1237" s="454"/>
      <c r="N1237" s="452"/>
      <c r="O1237" s="452"/>
    </row>
    <row r="1238" spans="1:15" ht="15" customHeight="1">
      <c r="A1238" s="299" t="s">
        <v>49</v>
      </c>
      <c r="B1238" s="299"/>
      <c r="C1238" s="111">
        <f>SUM(E1238:G1238)</f>
        <v>0</v>
      </c>
      <c r="D1238" s="120">
        <v>0</v>
      </c>
      <c r="E1238" s="120">
        <v>0</v>
      </c>
      <c r="F1238" s="120">
        <v>0</v>
      </c>
      <c r="G1238" s="126">
        <v>0</v>
      </c>
      <c r="H1238" s="28">
        <f t="shared" si="308"/>
        <v>0</v>
      </c>
      <c r="I1238" s="120">
        <v>0</v>
      </c>
      <c r="J1238" s="120">
        <v>0</v>
      </c>
      <c r="K1238" s="120">
        <v>0</v>
      </c>
      <c r="L1238" s="454"/>
      <c r="M1238" s="454"/>
      <c r="N1238" s="452"/>
      <c r="O1238" s="452"/>
    </row>
    <row r="1239" spans="1:15" ht="88.5" customHeight="1">
      <c r="A1239" s="461" t="s">
        <v>345</v>
      </c>
      <c r="B1239" s="462"/>
      <c r="C1239" s="191"/>
      <c r="D1239" s="191"/>
      <c r="E1239" s="191"/>
      <c r="F1239" s="191"/>
      <c r="G1239" s="191"/>
      <c r="H1239" s="28"/>
      <c r="I1239" s="191"/>
      <c r="J1239" s="191"/>
      <c r="K1239" s="191"/>
      <c r="L1239" s="454" t="s">
        <v>97</v>
      </c>
      <c r="M1239" s="454"/>
      <c r="N1239" s="303" t="s">
        <v>315</v>
      </c>
      <c r="O1239" s="303" t="s">
        <v>251</v>
      </c>
    </row>
    <row r="1240" spans="1:15" ht="15" customHeight="1">
      <c r="A1240" s="299" t="s">
        <v>52</v>
      </c>
      <c r="B1240" s="299"/>
      <c r="C1240" s="120">
        <f aca="true" t="shared" si="316" ref="C1240:J1240">SUM(C1241:C1245)</f>
        <v>72446.5356</v>
      </c>
      <c r="D1240" s="120">
        <f t="shared" si="316"/>
        <v>5895</v>
      </c>
      <c r="E1240" s="120">
        <f t="shared" si="316"/>
        <v>6653.274</v>
      </c>
      <c r="F1240" s="120">
        <f t="shared" si="316"/>
        <v>7329.1704</v>
      </c>
      <c r="G1240" s="120">
        <f t="shared" si="316"/>
        <v>7949.8512</v>
      </c>
      <c r="H1240" s="28">
        <f t="shared" si="308"/>
        <v>17357.120000000003</v>
      </c>
      <c r="I1240" s="120">
        <f t="shared" si="316"/>
        <v>9457.12</v>
      </c>
      <c r="J1240" s="120">
        <f t="shared" si="316"/>
        <v>7900</v>
      </c>
      <c r="K1240" s="120">
        <v>0</v>
      </c>
      <c r="L1240" s="454"/>
      <c r="M1240" s="454"/>
      <c r="N1240" s="304"/>
      <c r="O1240" s="304"/>
    </row>
    <row r="1241" spans="1:15" ht="17.25" customHeight="1">
      <c r="A1241" s="299" t="s">
        <v>45</v>
      </c>
      <c r="B1241" s="299"/>
      <c r="C1241" s="111">
        <f>SUM(E1241:G1241)</f>
        <v>0</v>
      </c>
      <c r="D1241" s="120">
        <v>5895</v>
      </c>
      <c r="E1241" s="120">
        <v>0</v>
      </c>
      <c r="F1241" s="120">
        <v>0</v>
      </c>
      <c r="G1241" s="120">
        <v>0</v>
      </c>
      <c r="H1241" s="28">
        <f t="shared" si="308"/>
        <v>0</v>
      </c>
      <c r="I1241" s="120">
        <v>0</v>
      </c>
      <c r="J1241" s="120">
        <v>0</v>
      </c>
      <c r="K1241" s="120">
        <v>0</v>
      </c>
      <c r="L1241" s="454"/>
      <c r="M1241" s="454"/>
      <c r="N1241" s="304"/>
      <c r="O1241" s="304"/>
    </row>
    <row r="1242" spans="1:15" ht="15" customHeight="1">
      <c r="A1242" s="299" t="s">
        <v>46</v>
      </c>
      <c r="B1242" s="299"/>
      <c r="C1242" s="112">
        <f>SUM(D1242:K1242)</f>
        <v>72446.5356</v>
      </c>
      <c r="D1242" s="120">
        <v>0</v>
      </c>
      <c r="E1242" s="120">
        <v>6653.274</v>
      </c>
      <c r="F1242" s="120">
        <v>7329.1704</v>
      </c>
      <c r="G1242" s="120">
        <v>7949.8512</v>
      </c>
      <c r="H1242" s="28">
        <f t="shared" si="308"/>
        <v>25257.120000000003</v>
      </c>
      <c r="I1242" s="120">
        <v>9457.12</v>
      </c>
      <c r="J1242" s="120">
        <v>7900</v>
      </c>
      <c r="K1242" s="120">
        <v>7900</v>
      </c>
      <c r="L1242" s="454"/>
      <c r="M1242" s="454"/>
      <c r="N1242" s="304"/>
      <c r="O1242" s="304"/>
    </row>
    <row r="1243" spans="1:15" ht="15" customHeight="1">
      <c r="A1243" s="299" t="s">
        <v>47</v>
      </c>
      <c r="B1243" s="299"/>
      <c r="C1243" s="111">
        <f>SUM(E1243:G1243)</f>
        <v>0</v>
      </c>
      <c r="D1243" s="120">
        <v>0</v>
      </c>
      <c r="E1243" s="120">
        <v>0</v>
      </c>
      <c r="F1243" s="120">
        <v>0</v>
      </c>
      <c r="G1243" s="120">
        <v>0</v>
      </c>
      <c r="H1243" s="28">
        <f t="shared" si="308"/>
        <v>0</v>
      </c>
      <c r="I1243" s="120">
        <v>0</v>
      </c>
      <c r="J1243" s="120">
        <v>0</v>
      </c>
      <c r="K1243" s="120">
        <v>0</v>
      </c>
      <c r="L1243" s="454"/>
      <c r="M1243" s="454"/>
      <c r="N1243" s="304"/>
      <c r="O1243" s="304"/>
    </row>
    <row r="1244" spans="1:15" ht="15" customHeight="1">
      <c r="A1244" s="299" t="s">
        <v>48</v>
      </c>
      <c r="B1244" s="299"/>
      <c r="C1244" s="111">
        <f>SUM(E1244:G1244)</f>
        <v>0</v>
      </c>
      <c r="D1244" s="120">
        <v>0</v>
      </c>
      <c r="E1244" s="120">
        <v>0</v>
      </c>
      <c r="F1244" s="120">
        <v>0</v>
      </c>
      <c r="G1244" s="120">
        <v>0</v>
      </c>
      <c r="H1244" s="28">
        <f t="shared" si="308"/>
        <v>0</v>
      </c>
      <c r="I1244" s="120">
        <v>0</v>
      </c>
      <c r="J1244" s="120">
        <v>0</v>
      </c>
      <c r="K1244" s="120">
        <v>0</v>
      </c>
      <c r="L1244" s="454"/>
      <c r="M1244" s="454"/>
      <c r="N1244" s="304"/>
      <c r="O1244" s="304"/>
    </row>
    <row r="1245" spans="1:15" ht="15" customHeight="1">
      <c r="A1245" s="299" t="s">
        <v>49</v>
      </c>
      <c r="B1245" s="299"/>
      <c r="C1245" s="111">
        <f>SUM(E1245:G1245)</f>
        <v>0</v>
      </c>
      <c r="D1245" s="120">
        <v>0</v>
      </c>
      <c r="E1245" s="120">
        <v>0</v>
      </c>
      <c r="F1245" s="120">
        <v>0</v>
      </c>
      <c r="G1245" s="120">
        <v>0</v>
      </c>
      <c r="H1245" s="28">
        <f t="shared" si="308"/>
        <v>0</v>
      </c>
      <c r="I1245" s="120">
        <v>0</v>
      </c>
      <c r="J1245" s="120">
        <v>0</v>
      </c>
      <c r="K1245" s="120">
        <v>0</v>
      </c>
      <c r="L1245" s="454"/>
      <c r="M1245" s="454"/>
      <c r="N1245" s="305"/>
      <c r="O1245" s="305"/>
    </row>
    <row r="1246" spans="1:15" ht="76.5" customHeight="1">
      <c r="A1246" s="340" t="s">
        <v>346</v>
      </c>
      <c r="B1246" s="341"/>
      <c r="C1246" s="189"/>
      <c r="D1246" s="189"/>
      <c r="E1246" s="189"/>
      <c r="F1246" s="189"/>
      <c r="G1246" s="189"/>
      <c r="H1246" s="28"/>
      <c r="I1246" s="189"/>
      <c r="J1246" s="189"/>
      <c r="K1246" s="189"/>
      <c r="L1246" s="454" t="s">
        <v>224</v>
      </c>
      <c r="M1246" s="454"/>
      <c r="N1246" s="303" t="s">
        <v>315</v>
      </c>
      <c r="O1246" s="303" t="s">
        <v>251</v>
      </c>
    </row>
    <row r="1247" spans="1:15" ht="19.5" customHeight="1">
      <c r="A1247" s="299" t="s">
        <v>52</v>
      </c>
      <c r="B1247" s="299"/>
      <c r="C1247" s="120">
        <f aca="true" t="shared" si="317" ref="C1247:K1247">SUM(C1248:C1252)</f>
        <v>132105.0178</v>
      </c>
      <c r="D1247" s="120">
        <f t="shared" si="317"/>
        <v>16800.6</v>
      </c>
      <c r="E1247" s="120">
        <f t="shared" si="317"/>
        <v>16624.59422</v>
      </c>
      <c r="F1247" s="120">
        <f t="shared" si="317"/>
        <v>7118.22358</v>
      </c>
      <c r="G1247" s="120">
        <f>SUM(G1248:G1252)</f>
        <v>10891.6</v>
      </c>
      <c r="H1247" s="28">
        <f t="shared" si="308"/>
        <v>40335</v>
      </c>
      <c r="I1247" s="120">
        <f>SUM(I1248:I1252)</f>
        <v>13445</v>
      </c>
      <c r="J1247" s="120">
        <f>SUM(J1248:J1252)</f>
        <v>13445</v>
      </c>
      <c r="K1247" s="120">
        <f t="shared" si="317"/>
        <v>13445</v>
      </c>
      <c r="L1247" s="454"/>
      <c r="M1247" s="454"/>
      <c r="N1247" s="304"/>
      <c r="O1247" s="304"/>
    </row>
    <row r="1248" spans="1:15" ht="18" customHeight="1">
      <c r="A1248" s="299" t="s">
        <v>45</v>
      </c>
      <c r="B1248" s="299"/>
      <c r="C1248" s="111">
        <f>SUM(E1248:G1248)</f>
        <v>0</v>
      </c>
      <c r="D1248" s="120">
        <v>0</v>
      </c>
      <c r="E1248" s="120">
        <v>0</v>
      </c>
      <c r="F1248" s="120">
        <v>0</v>
      </c>
      <c r="G1248" s="120">
        <v>0</v>
      </c>
      <c r="H1248" s="28">
        <f t="shared" si="308"/>
        <v>0</v>
      </c>
      <c r="I1248" s="120">
        <v>0</v>
      </c>
      <c r="J1248" s="120">
        <v>0</v>
      </c>
      <c r="K1248" s="120">
        <v>0</v>
      </c>
      <c r="L1248" s="454"/>
      <c r="M1248" s="454"/>
      <c r="N1248" s="304"/>
      <c r="O1248" s="304"/>
    </row>
    <row r="1249" spans="1:15" ht="15" customHeight="1">
      <c r="A1249" s="299" t="s">
        <v>46</v>
      </c>
      <c r="B1249" s="299"/>
      <c r="C1249" s="112">
        <f>SUM(D1249:K1249)</f>
        <v>132105.0178</v>
      </c>
      <c r="D1249" s="120">
        <v>16800.6</v>
      </c>
      <c r="E1249" s="124">
        <v>16624.59422</v>
      </c>
      <c r="F1249" s="120">
        <v>7118.22358</v>
      </c>
      <c r="G1249" s="120">
        <v>10891.6</v>
      </c>
      <c r="H1249" s="28">
        <f t="shared" si="308"/>
        <v>40335</v>
      </c>
      <c r="I1249" s="120">
        <v>13445</v>
      </c>
      <c r="J1249" s="120">
        <v>13445</v>
      </c>
      <c r="K1249" s="120">
        <v>13445</v>
      </c>
      <c r="L1249" s="454"/>
      <c r="M1249" s="454"/>
      <c r="N1249" s="304"/>
      <c r="O1249" s="304"/>
    </row>
    <row r="1250" spans="1:15" ht="15" customHeight="1">
      <c r="A1250" s="299" t="s">
        <v>47</v>
      </c>
      <c r="B1250" s="299"/>
      <c r="C1250" s="111">
        <f>SUM(E1250:G1250)</f>
        <v>0</v>
      </c>
      <c r="D1250" s="120">
        <v>0</v>
      </c>
      <c r="E1250" s="120">
        <v>0</v>
      </c>
      <c r="F1250" s="120">
        <v>0</v>
      </c>
      <c r="G1250" s="120">
        <v>0</v>
      </c>
      <c r="H1250" s="28">
        <f t="shared" si="308"/>
        <v>0</v>
      </c>
      <c r="I1250" s="120">
        <v>0</v>
      </c>
      <c r="J1250" s="120">
        <v>0</v>
      </c>
      <c r="K1250" s="120">
        <v>0</v>
      </c>
      <c r="L1250" s="454"/>
      <c r="M1250" s="454"/>
      <c r="N1250" s="304"/>
      <c r="O1250" s="304"/>
    </row>
    <row r="1251" spans="1:15" ht="15" customHeight="1">
      <c r="A1251" s="299" t="s">
        <v>48</v>
      </c>
      <c r="B1251" s="299"/>
      <c r="C1251" s="111">
        <f>SUM(E1251:G1251)</f>
        <v>0</v>
      </c>
      <c r="D1251" s="120">
        <v>0</v>
      </c>
      <c r="E1251" s="120">
        <v>0</v>
      </c>
      <c r="F1251" s="120">
        <v>0</v>
      </c>
      <c r="G1251" s="120">
        <v>0</v>
      </c>
      <c r="H1251" s="28">
        <f t="shared" si="308"/>
        <v>0</v>
      </c>
      <c r="I1251" s="120">
        <v>0</v>
      </c>
      <c r="J1251" s="120">
        <v>0</v>
      </c>
      <c r="K1251" s="120">
        <v>0</v>
      </c>
      <c r="L1251" s="454"/>
      <c r="M1251" s="454"/>
      <c r="N1251" s="304"/>
      <c r="O1251" s="304"/>
    </row>
    <row r="1252" spans="1:15" ht="15" customHeight="1">
      <c r="A1252" s="299" t="s">
        <v>49</v>
      </c>
      <c r="B1252" s="299"/>
      <c r="C1252" s="111">
        <f>SUM(E1252:G1252)</f>
        <v>0</v>
      </c>
      <c r="D1252" s="120">
        <v>0</v>
      </c>
      <c r="E1252" s="120">
        <v>0</v>
      </c>
      <c r="F1252" s="120">
        <v>0</v>
      </c>
      <c r="G1252" s="120">
        <v>0</v>
      </c>
      <c r="H1252" s="28">
        <f t="shared" si="308"/>
        <v>0</v>
      </c>
      <c r="I1252" s="120">
        <v>0</v>
      </c>
      <c r="J1252" s="120">
        <v>0</v>
      </c>
      <c r="K1252" s="120">
        <v>0</v>
      </c>
      <c r="L1252" s="454"/>
      <c r="M1252" s="454"/>
      <c r="N1252" s="305"/>
      <c r="O1252" s="305"/>
    </row>
    <row r="1253" spans="1:15" ht="60" customHeight="1">
      <c r="A1253" s="458" t="s">
        <v>403</v>
      </c>
      <c r="B1253" s="465"/>
      <c r="C1253" s="112"/>
      <c r="D1253" s="123"/>
      <c r="E1253" s="123"/>
      <c r="F1253" s="123"/>
      <c r="G1253" s="123"/>
      <c r="H1253" s="28"/>
      <c r="I1253" s="123"/>
      <c r="J1253" s="123"/>
      <c r="K1253" s="123"/>
      <c r="L1253" s="19"/>
      <c r="M1253" s="19"/>
      <c r="N1253" s="203"/>
      <c r="O1253" s="221" t="s">
        <v>267</v>
      </c>
    </row>
    <row r="1254" spans="1:15" ht="80.25" customHeight="1">
      <c r="A1254" s="458" t="s">
        <v>404</v>
      </c>
      <c r="B1254" s="465"/>
      <c r="C1254" s="112"/>
      <c r="D1254" s="123"/>
      <c r="E1254" s="123"/>
      <c r="F1254" s="123"/>
      <c r="G1254" s="123"/>
      <c r="H1254" s="28"/>
      <c r="I1254" s="123"/>
      <c r="J1254" s="123"/>
      <c r="K1254" s="123"/>
      <c r="L1254" s="19"/>
      <c r="M1254" s="19"/>
      <c r="N1254" s="203"/>
      <c r="O1254" s="221" t="s">
        <v>251</v>
      </c>
    </row>
    <row r="1255" spans="1:15" ht="45" customHeight="1">
      <c r="A1255" s="455" t="s">
        <v>347</v>
      </c>
      <c r="B1255" s="457"/>
      <c r="C1255" s="189"/>
      <c r="D1255" s="189"/>
      <c r="E1255" s="189"/>
      <c r="F1255" s="189"/>
      <c r="G1255" s="189"/>
      <c r="H1255" s="28"/>
      <c r="I1255" s="189"/>
      <c r="J1255" s="189"/>
      <c r="K1255" s="189"/>
      <c r="L1255" s="454"/>
      <c r="M1255" s="454"/>
      <c r="N1255" s="453" t="s">
        <v>374</v>
      </c>
      <c r="O1255" s="453" t="s">
        <v>359</v>
      </c>
    </row>
    <row r="1256" spans="1:15" ht="15" customHeight="1">
      <c r="A1256" s="299" t="s">
        <v>52</v>
      </c>
      <c r="B1256" s="299"/>
      <c r="C1256" s="120">
        <f aca="true" t="shared" si="318" ref="C1256:K1256">SUM(C1257:C1261)</f>
        <v>509.57715</v>
      </c>
      <c r="D1256" s="120">
        <f t="shared" si="318"/>
        <v>214</v>
      </c>
      <c r="E1256" s="120">
        <f t="shared" si="318"/>
        <v>295.57715</v>
      </c>
      <c r="F1256" s="120">
        <f t="shared" si="318"/>
        <v>0</v>
      </c>
      <c r="G1256" s="126">
        <f t="shared" si="318"/>
        <v>0</v>
      </c>
      <c r="H1256" s="28">
        <f t="shared" si="308"/>
        <v>0</v>
      </c>
      <c r="I1256" s="120">
        <f t="shared" si="318"/>
        <v>0</v>
      </c>
      <c r="J1256" s="120">
        <f t="shared" si="318"/>
        <v>0</v>
      </c>
      <c r="K1256" s="120">
        <f t="shared" si="318"/>
        <v>0</v>
      </c>
      <c r="L1256" s="454"/>
      <c r="M1256" s="454"/>
      <c r="N1256" s="453"/>
      <c r="O1256" s="453"/>
    </row>
    <row r="1257" spans="1:15" ht="15" customHeight="1">
      <c r="A1257" s="299" t="s">
        <v>45</v>
      </c>
      <c r="B1257" s="299"/>
      <c r="C1257" s="111">
        <f>SUM(E1257:G1257)</f>
        <v>0</v>
      </c>
      <c r="D1257" s="120">
        <f aca="true" t="shared" si="319" ref="D1257:K1261">D1264</f>
        <v>0</v>
      </c>
      <c r="E1257" s="120">
        <f t="shared" si="319"/>
        <v>0</v>
      </c>
      <c r="F1257" s="120">
        <f t="shared" si="319"/>
        <v>0</v>
      </c>
      <c r="G1257" s="126">
        <f t="shared" si="319"/>
        <v>0</v>
      </c>
      <c r="H1257" s="28">
        <f t="shared" si="308"/>
        <v>0</v>
      </c>
      <c r="I1257" s="120">
        <f aca="true" t="shared" si="320" ref="I1257:J1261">I1264</f>
        <v>0</v>
      </c>
      <c r="J1257" s="120">
        <f t="shared" si="320"/>
        <v>0</v>
      </c>
      <c r="K1257" s="120">
        <f t="shared" si="319"/>
        <v>0</v>
      </c>
      <c r="L1257" s="454"/>
      <c r="M1257" s="454"/>
      <c r="N1257" s="453"/>
      <c r="O1257" s="453"/>
    </row>
    <row r="1258" spans="1:15" ht="15" customHeight="1">
      <c r="A1258" s="299" t="s">
        <v>46</v>
      </c>
      <c r="B1258" s="299"/>
      <c r="C1258" s="112">
        <f>SUM(D1258:K1258)</f>
        <v>509.57715</v>
      </c>
      <c r="D1258" s="120">
        <f t="shared" si="319"/>
        <v>214</v>
      </c>
      <c r="E1258" s="120">
        <f t="shared" si="319"/>
        <v>295.57715</v>
      </c>
      <c r="F1258" s="120">
        <f t="shared" si="319"/>
        <v>0</v>
      </c>
      <c r="G1258" s="126">
        <f>G1265</f>
        <v>0</v>
      </c>
      <c r="H1258" s="28">
        <f t="shared" si="308"/>
        <v>0</v>
      </c>
      <c r="I1258" s="120">
        <f t="shared" si="320"/>
        <v>0</v>
      </c>
      <c r="J1258" s="120">
        <v>0</v>
      </c>
      <c r="K1258" s="120">
        <v>0</v>
      </c>
      <c r="L1258" s="454"/>
      <c r="M1258" s="454"/>
      <c r="N1258" s="453"/>
      <c r="O1258" s="453"/>
    </row>
    <row r="1259" spans="1:15" ht="15" customHeight="1">
      <c r="A1259" s="299" t="s">
        <v>47</v>
      </c>
      <c r="B1259" s="299"/>
      <c r="C1259" s="111">
        <f>SUM(E1259:G1259)</f>
        <v>0</v>
      </c>
      <c r="D1259" s="120">
        <f t="shared" si="319"/>
        <v>0</v>
      </c>
      <c r="E1259" s="120">
        <f t="shared" si="319"/>
        <v>0</v>
      </c>
      <c r="F1259" s="120">
        <f t="shared" si="319"/>
        <v>0</v>
      </c>
      <c r="G1259" s="126">
        <f t="shared" si="319"/>
        <v>0</v>
      </c>
      <c r="H1259" s="28">
        <f t="shared" si="308"/>
        <v>0</v>
      </c>
      <c r="I1259" s="120">
        <f t="shared" si="320"/>
        <v>0</v>
      </c>
      <c r="J1259" s="120">
        <f t="shared" si="320"/>
        <v>0</v>
      </c>
      <c r="K1259" s="120">
        <f t="shared" si="319"/>
        <v>0</v>
      </c>
      <c r="L1259" s="454"/>
      <c r="M1259" s="454"/>
      <c r="N1259" s="453"/>
      <c r="O1259" s="453"/>
    </row>
    <row r="1260" spans="1:15" ht="18.75" customHeight="1">
      <c r="A1260" s="299" t="s">
        <v>48</v>
      </c>
      <c r="B1260" s="299"/>
      <c r="C1260" s="111">
        <f>SUM(E1260:G1260)</f>
        <v>0</v>
      </c>
      <c r="D1260" s="120">
        <f t="shared" si="319"/>
        <v>0</v>
      </c>
      <c r="E1260" s="120">
        <f t="shared" si="319"/>
        <v>0</v>
      </c>
      <c r="F1260" s="120">
        <f t="shared" si="319"/>
        <v>0</v>
      </c>
      <c r="G1260" s="126">
        <f t="shared" si="319"/>
        <v>0</v>
      </c>
      <c r="H1260" s="28">
        <f t="shared" si="308"/>
        <v>0</v>
      </c>
      <c r="I1260" s="120">
        <f t="shared" si="320"/>
        <v>0</v>
      </c>
      <c r="J1260" s="120">
        <f t="shared" si="320"/>
        <v>0</v>
      </c>
      <c r="K1260" s="120">
        <f t="shared" si="319"/>
        <v>0</v>
      </c>
      <c r="L1260" s="454"/>
      <c r="M1260" s="454"/>
      <c r="N1260" s="453"/>
      <c r="O1260" s="453"/>
    </row>
    <row r="1261" spans="1:15" ht="15" customHeight="1">
      <c r="A1261" s="299" t="s">
        <v>49</v>
      </c>
      <c r="B1261" s="299"/>
      <c r="C1261" s="111">
        <f>SUM(E1261:G1261)</f>
        <v>0</v>
      </c>
      <c r="D1261" s="120">
        <f t="shared" si="319"/>
        <v>0</v>
      </c>
      <c r="E1261" s="120">
        <f t="shared" si="319"/>
        <v>0</v>
      </c>
      <c r="F1261" s="120">
        <f t="shared" si="319"/>
        <v>0</v>
      </c>
      <c r="G1261" s="126">
        <f t="shared" si="319"/>
        <v>0</v>
      </c>
      <c r="H1261" s="28">
        <f t="shared" si="308"/>
        <v>0</v>
      </c>
      <c r="I1261" s="120">
        <f t="shared" si="320"/>
        <v>0</v>
      </c>
      <c r="J1261" s="120">
        <f t="shared" si="320"/>
        <v>0</v>
      </c>
      <c r="K1261" s="120">
        <f t="shared" si="319"/>
        <v>0</v>
      </c>
      <c r="L1261" s="454"/>
      <c r="M1261" s="454"/>
      <c r="N1261" s="453"/>
      <c r="O1261" s="453"/>
    </row>
    <row r="1262" spans="1:15" ht="69" customHeight="1">
      <c r="A1262" s="340" t="s">
        <v>349</v>
      </c>
      <c r="B1262" s="341"/>
      <c r="C1262" s="189"/>
      <c r="D1262" s="189"/>
      <c r="E1262" s="189"/>
      <c r="F1262" s="189"/>
      <c r="G1262" s="189"/>
      <c r="H1262" s="28"/>
      <c r="I1262" s="189"/>
      <c r="J1262" s="189"/>
      <c r="K1262" s="189"/>
      <c r="L1262" s="454" t="s">
        <v>224</v>
      </c>
      <c r="M1262" s="454"/>
      <c r="N1262" s="453"/>
      <c r="O1262" s="453"/>
    </row>
    <row r="1263" spans="1:15" ht="15" customHeight="1">
      <c r="A1263" s="299" t="s">
        <v>52</v>
      </c>
      <c r="B1263" s="299"/>
      <c r="C1263" s="120">
        <f aca="true" t="shared" si="321" ref="C1263:K1263">SUM(C1264:C1268)</f>
        <v>509.57715</v>
      </c>
      <c r="D1263" s="120">
        <f t="shared" si="321"/>
        <v>214</v>
      </c>
      <c r="E1263" s="120">
        <f t="shared" si="321"/>
        <v>295.57715</v>
      </c>
      <c r="F1263" s="120">
        <f t="shared" si="321"/>
        <v>0</v>
      </c>
      <c r="G1263" s="126">
        <f t="shared" si="321"/>
        <v>0</v>
      </c>
      <c r="H1263" s="28">
        <f t="shared" si="308"/>
        <v>0</v>
      </c>
      <c r="I1263" s="120">
        <f t="shared" si="321"/>
        <v>0</v>
      </c>
      <c r="J1263" s="120">
        <f t="shared" si="321"/>
        <v>0</v>
      </c>
      <c r="K1263" s="120">
        <f t="shared" si="321"/>
        <v>0</v>
      </c>
      <c r="L1263" s="454"/>
      <c r="M1263" s="454"/>
      <c r="N1263" s="453"/>
      <c r="O1263" s="453"/>
    </row>
    <row r="1264" spans="1:15" ht="15" customHeight="1">
      <c r="A1264" s="299" t="s">
        <v>45</v>
      </c>
      <c r="B1264" s="299"/>
      <c r="C1264" s="111">
        <f>SUM(E1264:G1264)</f>
        <v>0</v>
      </c>
      <c r="D1264" s="120"/>
      <c r="E1264" s="120">
        <v>0</v>
      </c>
      <c r="F1264" s="120">
        <v>0</v>
      </c>
      <c r="G1264" s="126">
        <v>0</v>
      </c>
      <c r="H1264" s="28">
        <f t="shared" si="308"/>
        <v>0</v>
      </c>
      <c r="I1264" s="120">
        <v>0</v>
      </c>
      <c r="J1264" s="120">
        <v>0</v>
      </c>
      <c r="K1264" s="120">
        <v>0</v>
      </c>
      <c r="L1264" s="454"/>
      <c r="M1264" s="454"/>
      <c r="N1264" s="453"/>
      <c r="O1264" s="453"/>
    </row>
    <row r="1265" spans="1:15" ht="15" customHeight="1">
      <c r="A1265" s="299" t="s">
        <v>46</v>
      </c>
      <c r="B1265" s="299"/>
      <c r="C1265" s="112">
        <f>SUM(D1265:K1265)</f>
        <v>509.57715</v>
      </c>
      <c r="D1265" s="120">
        <v>214</v>
      </c>
      <c r="E1265" s="120">
        <v>295.57715</v>
      </c>
      <c r="F1265" s="120">
        <v>0</v>
      </c>
      <c r="G1265" s="126">
        <v>0</v>
      </c>
      <c r="H1265" s="28">
        <f t="shared" si="308"/>
        <v>0</v>
      </c>
      <c r="I1265" s="120">
        <v>0</v>
      </c>
      <c r="J1265" s="120">
        <v>0</v>
      </c>
      <c r="K1265" s="120">
        <v>0</v>
      </c>
      <c r="L1265" s="454"/>
      <c r="M1265" s="454"/>
      <c r="N1265" s="453"/>
      <c r="O1265" s="453"/>
    </row>
    <row r="1266" spans="1:15" ht="15" customHeight="1">
      <c r="A1266" s="299" t="s">
        <v>47</v>
      </c>
      <c r="B1266" s="299"/>
      <c r="C1266" s="111">
        <f>SUM(E1266:G1266)</f>
        <v>0</v>
      </c>
      <c r="D1266" s="120"/>
      <c r="E1266" s="120">
        <v>0</v>
      </c>
      <c r="F1266" s="120">
        <v>0</v>
      </c>
      <c r="G1266" s="126">
        <v>0</v>
      </c>
      <c r="H1266" s="28">
        <f aca="true" t="shared" si="322" ref="H1266:H1329">I1266+J1266+K1266</f>
        <v>0</v>
      </c>
      <c r="I1266" s="120">
        <v>0</v>
      </c>
      <c r="J1266" s="120">
        <v>0</v>
      </c>
      <c r="K1266" s="120">
        <v>0</v>
      </c>
      <c r="L1266" s="454"/>
      <c r="M1266" s="454"/>
      <c r="N1266" s="453"/>
      <c r="O1266" s="453"/>
    </row>
    <row r="1267" spans="1:15" ht="15" customHeight="1">
      <c r="A1267" s="299" t="s">
        <v>48</v>
      </c>
      <c r="B1267" s="299"/>
      <c r="C1267" s="111">
        <f>SUM(E1267:G1267)</f>
        <v>0</v>
      </c>
      <c r="D1267" s="120"/>
      <c r="E1267" s="120">
        <v>0</v>
      </c>
      <c r="F1267" s="120">
        <v>0</v>
      </c>
      <c r="G1267" s="126">
        <v>0</v>
      </c>
      <c r="H1267" s="28">
        <f t="shared" si="322"/>
        <v>0</v>
      </c>
      <c r="I1267" s="120">
        <v>0</v>
      </c>
      <c r="J1267" s="120">
        <v>0</v>
      </c>
      <c r="K1267" s="120">
        <v>0</v>
      </c>
      <c r="L1267" s="454"/>
      <c r="M1267" s="454"/>
      <c r="N1267" s="453"/>
      <c r="O1267" s="453"/>
    </row>
    <row r="1268" spans="1:21" ht="18" customHeight="1">
      <c r="A1268" s="299" t="s">
        <v>49</v>
      </c>
      <c r="B1268" s="299"/>
      <c r="C1268" s="111">
        <f>SUM(E1268:G1268)</f>
        <v>0</v>
      </c>
      <c r="D1268" s="120"/>
      <c r="E1268" s="120">
        <v>0</v>
      </c>
      <c r="F1268" s="120">
        <v>0</v>
      </c>
      <c r="G1268" s="126">
        <v>0</v>
      </c>
      <c r="H1268" s="28">
        <f t="shared" si="322"/>
        <v>0</v>
      </c>
      <c r="I1268" s="120">
        <v>0</v>
      </c>
      <c r="J1268" s="120">
        <v>0</v>
      </c>
      <c r="K1268" s="120">
        <v>0</v>
      </c>
      <c r="L1268" s="454"/>
      <c r="M1268" s="454"/>
      <c r="N1268" s="453"/>
      <c r="O1268" s="453"/>
      <c r="U1268" s="148"/>
    </row>
    <row r="1269" spans="1:15" ht="45.75" customHeight="1">
      <c r="A1269" s="455" t="s">
        <v>350</v>
      </c>
      <c r="B1269" s="457"/>
      <c r="C1269" s="189"/>
      <c r="D1269" s="189"/>
      <c r="E1269" s="189"/>
      <c r="F1269" s="189"/>
      <c r="G1269" s="189"/>
      <c r="H1269" s="28"/>
      <c r="I1269" s="189"/>
      <c r="J1269" s="189"/>
      <c r="K1269" s="189"/>
      <c r="L1269" s="454"/>
      <c r="M1269" s="454"/>
      <c r="N1269" s="303" t="s">
        <v>374</v>
      </c>
      <c r="O1269" s="303" t="s">
        <v>359</v>
      </c>
    </row>
    <row r="1270" spans="1:15" ht="15" customHeight="1">
      <c r="A1270" s="299" t="s">
        <v>52</v>
      </c>
      <c r="B1270" s="299"/>
      <c r="C1270" s="120">
        <f aca="true" t="shared" si="323" ref="C1270:K1270">SUM(C1271:C1275)</f>
        <v>7656.816999999999</v>
      </c>
      <c r="D1270" s="120">
        <f t="shared" si="323"/>
        <v>815</v>
      </c>
      <c r="E1270" s="120">
        <f t="shared" si="323"/>
        <v>920.9</v>
      </c>
      <c r="F1270" s="120">
        <f t="shared" si="323"/>
        <v>915.328</v>
      </c>
      <c r="G1270" s="126">
        <f t="shared" si="323"/>
        <v>893.379</v>
      </c>
      <c r="H1270" s="28">
        <f t="shared" si="322"/>
        <v>2056.105</v>
      </c>
      <c r="I1270" s="126">
        <f t="shared" si="323"/>
        <v>877.0350000000001</v>
      </c>
      <c r="J1270" s="126">
        <f t="shared" si="323"/>
        <v>877.0350000000001</v>
      </c>
      <c r="K1270" s="126">
        <f t="shared" si="323"/>
        <v>302.035</v>
      </c>
      <c r="L1270" s="454"/>
      <c r="M1270" s="454"/>
      <c r="N1270" s="304"/>
      <c r="O1270" s="304"/>
    </row>
    <row r="1271" spans="1:15" ht="15" customHeight="1">
      <c r="A1271" s="299" t="s">
        <v>45</v>
      </c>
      <c r="B1271" s="299"/>
      <c r="C1271" s="111">
        <f>SUM(E1271:G1271)</f>
        <v>0</v>
      </c>
      <c r="D1271" s="120">
        <f aca="true" t="shared" si="324" ref="D1271:K1275">D1278+D1285+D1292</f>
        <v>0</v>
      </c>
      <c r="E1271" s="120">
        <f t="shared" si="324"/>
        <v>0</v>
      </c>
      <c r="F1271" s="120">
        <f t="shared" si="324"/>
        <v>0</v>
      </c>
      <c r="G1271" s="126">
        <f t="shared" si="324"/>
        <v>0</v>
      </c>
      <c r="H1271" s="28">
        <f t="shared" si="322"/>
        <v>0</v>
      </c>
      <c r="I1271" s="120">
        <f aca="true" t="shared" si="325" ref="I1271:J1275">I1278+I1285+I1292</f>
        <v>0</v>
      </c>
      <c r="J1271" s="120">
        <f t="shared" si="325"/>
        <v>0</v>
      </c>
      <c r="K1271" s="120">
        <f t="shared" si="324"/>
        <v>0</v>
      </c>
      <c r="L1271" s="454"/>
      <c r="M1271" s="454"/>
      <c r="N1271" s="304"/>
      <c r="O1271" s="304"/>
    </row>
    <row r="1272" spans="1:15" ht="15" customHeight="1">
      <c r="A1272" s="299" t="s">
        <v>46</v>
      </c>
      <c r="B1272" s="299"/>
      <c r="C1272" s="112">
        <f>SUM(D1272:K1272)</f>
        <v>3056.8169999999996</v>
      </c>
      <c r="D1272" s="120">
        <f t="shared" si="324"/>
        <v>240</v>
      </c>
      <c r="E1272" s="120">
        <f t="shared" si="324"/>
        <v>345.9</v>
      </c>
      <c r="F1272" s="120">
        <v>340.328</v>
      </c>
      <c r="G1272" s="126">
        <f t="shared" si="324"/>
        <v>318.379</v>
      </c>
      <c r="H1272" s="28">
        <f t="shared" si="322"/>
        <v>906.105</v>
      </c>
      <c r="I1272" s="126">
        <f t="shared" si="324"/>
        <v>302.035</v>
      </c>
      <c r="J1272" s="126">
        <f t="shared" si="324"/>
        <v>302.035</v>
      </c>
      <c r="K1272" s="126">
        <f t="shared" si="324"/>
        <v>302.035</v>
      </c>
      <c r="L1272" s="454"/>
      <c r="M1272" s="454"/>
      <c r="N1272" s="304"/>
      <c r="O1272" s="304"/>
    </row>
    <row r="1273" spans="1:15" ht="15" customHeight="1">
      <c r="A1273" s="299" t="s">
        <v>47</v>
      </c>
      <c r="B1273" s="299"/>
      <c r="C1273" s="111">
        <f>SUM(E1273:G1273)</f>
        <v>0</v>
      </c>
      <c r="D1273" s="120">
        <f t="shared" si="324"/>
        <v>0</v>
      </c>
      <c r="E1273" s="120">
        <f t="shared" si="324"/>
        <v>0</v>
      </c>
      <c r="F1273" s="120">
        <f t="shared" si="324"/>
        <v>0</v>
      </c>
      <c r="G1273" s="126">
        <f t="shared" si="324"/>
        <v>0</v>
      </c>
      <c r="H1273" s="28">
        <f t="shared" si="322"/>
        <v>0</v>
      </c>
      <c r="I1273" s="120">
        <f t="shared" si="325"/>
        <v>0</v>
      </c>
      <c r="J1273" s="120">
        <f t="shared" si="325"/>
        <v>0</v>
      </c>
      <c r="K1273" s="120">
        <f t="shared" si="324"/>
        <v>0</v>
      </c>
      <c r="L1273" s="454"/>
      <c r="M1273" s="454"/>
      <c r="N1273" s="304"/>
      <c r="O1273" s="304"/>
    </row>
    <row r="1274" spans="1:15" ht="21.75" customHeight="1">
      <c r="A1274" s="299" t="s">
        <v>48</v>
      </c>
      <c r="B1274" s="299"/>
      <c r="C1274" s="111">
        <f>SUM(E1274:G1274)</f>
        <v>0</v>
      </c>
      <c r="D1274" s="120">
        <f t="shared" si="324"/>
        <v>0</v>
      </c>
      <c r="E1274" s="120">
        <f t="shared" si="324"/>
        <v>0</v>
      </c>
      <c r="F1274" s="120">
        <f t="shared" si="324"/>
        <v>0</v>
      </c>
      <c r="G1274" s="126">
        <f t="shared" si="324"/>
        <v>0</v>
      </c>
      <c r="H1274" s="28">
        <f t="shared" si="322"/>
        <v>0</v>
      </c>
      <c r="I1274" s="120">
        <f t="shared" si="325"/>
        <v>0</v>
      </c>
      <c r="J1274" s="120">
        <f t="shared" si="325"/>
        <v>0</v>
      </c>
      <c r="K1274" s="120">
        <f t="shared" si="324"/>
        <v>0</v>
      </c>
      <c r="L1274" s="454"/>
      <c r="M1274" s="454"/>
      <c r="N1274" s="304"/>
      <c r="O1274" s="304"/>
    </row>
    <row r="1275" spans="1:15" ht="16.5" customHeight="1">
      <c r="A1275" s="299" t="s">
        <v>49</v>
      </c>
      <c r="B1275" s="299"/>
      <c r="C1275" s="112">
        <f>SUM(D1275:K1275)</f>
        <v>4600</v>
      </c>
      <c r="D1275" s="120">
        <f t="shared" si="324"/>
        <v>575</v>
      </c>
      <c r="E1275" s="120">
        <f t="shared" si="324"/>
        <v>575</v>
      </c>
      <c r="F1275" s="120">
        <f t="shared" si="324"/>
        <v>575</v>
      </c>
      <c r="G1275" s="126">
        <f t="shared" si="324"/>
        <v>575</v>
      </c>
      <c r="H1275" s="28">
        <f t="shared" si="322"/>
        <v>1150</v>
      </c>
      <c r="I1275" s="120">
        <f t="shared" si="325"/>
        <v>575</v>
      </c>
      <c r="J1275" s="120">
        <f t="shared" si="325"/>
        <v>575</v>
      </c>
      <c r="K1275" s="120">
        <f t="shared" si="324"/>
        <v>0</v>
      </c>
      <c r="L1275" s="454"/>
      <c r="M1275" s="454"/>
      <c r="N1275" s="305"/>
      <c r="O1275" s="305"/>
    </row>
    <row r="1276" spans="1:15" ht="42" customHeight="1">
      <c r="A1276" s="340" t="s">
        <v>351</v>
      </c>
      <c r="B1276" s="341"/>
      <c r="C1276" s="189"/>
      <c r="D1276" s="189"/>
      <c r="E1276" s="189"/>
      <c r="F1276" s="189"/>
      <c r="G1276" s="189"/>
      <c r="H1276" s="28"/>
      <c r="I1276" s="189"/>
      <c r="J1276" s="189"/>
      <c r="K1276" s="189"/>
      <c r="L1276" s="454"/>
      <c r="M1276" s="454"/>
      <c r="N1276" s="303" t="s">
        <v>315</v>
      </c>
      <c r="O1276" s="303" t="s">
        <v>251</v>
      </c>
    </row>
    <row r="1277" spans="1:15" ht="15" customHeight="1">
      <c r="A1277" s="299" t="s">
        <v>52</v>
      </c>
      <c r="B1277" s="299"/>
      <c r="C1277" s="120">
        <f aca="true" t="shared" si="326" ref="C1277:J1277">SUM(C1278:C1282)</f>
        <v>3600</v>
      </c>
      <c r="D1277" s="120">
        <f t="shared" si="326"/>
        <v>450</v>
      </c>
      <c r="E1277" s="120">
        <f t="shared" si="326"/>
        <v>450</v>
      </c>
      <c r="F1277" s="120">
        <f t="shared" si="326"/>
        <v>450</v>
      </c>
      <c r="G1277" s="120">
        <f t="shared" si="326"/>
        <v>450</v>
      </c>
      <c r="H1277" s="28">
        <f t="shared" si="322"/>
        <v>900</v>
      </c>
      <c r="I1277" s="120">
        <f t="shared" si="326"/>
        <v>450</v>
      </c>
      <c r="J1277" s="120">
        <f t="shared" si="326"/>
        <v>450</v>
      </c>
      <c r="K1277" s="120">
        <v>0</v>
      </c>
      <c r="L1277" s="454"/>
      <c r="M1277" s="454"/>
      <c r="N1277" s="304"/>
      <c r="O1277" s="304"/>
    </row>
    <row r="1278" spans="1:15" ht="15" customHeight="1">
      <c r="A1278" s="299" t="s">
        <v>45</v>
      </c>
      <c r="B1278" s="299"/>
      <c r="C1278" s="111">
        <f>SUM(E1278:G1278)</f>
        <v>0</v>
      </c>
      <c r="D1278" s="120">
        <v>0</v>
      </c>
      <c r="E1278" s="120">
        <v>0</v>
      </c>
      <c r="F1278" s="120">
        <v>0</v>
      </c>
      <c r="G1278" s="120">
        <v>0</v>
      </c>
      <c r="H1278" s="28">
        <f t="shared" si="322"/>
        <v>0</v>
      </c>
      <c r="I1278" s="120">
        <v>0</v>
      </c>
      <c r="J1278" s="120">
        <v>0</v>
      </c>
      <c r="K1278" s="120">
        <v>0</v>
      </c>
      <c r="L1278" s="454"/>
      <c r="M1278" s="454"/>
      <c r="N1278" s="304"/>
      <c r="O1278" s="304"/>
    </row>
    <row r="1279" spans="1:15" ht="15" customHeight="1">
      <c r="A1279" s="299" t="s">
        <v>46</v>
      </c>
      <c r="B1279" s="299"/>
      <c r="C1279" s="111">
        <f>SUM(E1279:G1279)</f>
        <v>0</v>
      </c>
      <c r="D1279" s="120">
        <v>0</v>
      </c>
      <c r="E1279" s="120">
        <v>0</v>
      </c>
      <c r="F1279" s="120">
        <v>0</v>
      </c>
      <c r="G1279" s="120">
        <v>0</v>
      </c>
      <c r="H1279" s="28">
        <f t="shared" si="322"/>
        <v>0</v>
      </c>
      <c r="I1279" s="120">
        <v>0</v>
      </c>
      <c r="J1279" s="120">
        <v>0</v>
      </c>
      <c r="K1279" s="120">
        <v>0</v>
      </c>
      <c r="L1279" s="454"/>
      <c r="M1279" s="454"/>
      <c r="N1279" s="304"/>
      <c r="O1279" s="304"/>
    </row>
    <row r="1280" spans="1:20" ht="15" customHeight="1">
      <c r="A1280" s="299" t="s">
        <v>47</v>
      </c>
      <c r="B1280" s="299"/>
      <c r="C1280" s="111">
        <f>SUM(E1280:G1280)</f>
        <v>0</v>
      </c>
      <c r="D1280" s="120">
        <v>0</v>
      </c>
      <c r="E1280" s="120">
        <v>0</v>
      </c>
      <c r="F1280" s="120">
        <v>0</v>
      </c>
      <c r="G1280" s="120">
        <v>0</v>
      </c>
      <c r="H1280" s="28">
        <f t="shared" si="322"/>
        <v>0</v>
      </c>
      <c r="I1280" s="120">
        <v>0</v>
      </c>
      <c r="J1280" s="120">
        <v>0</v>
      </c>
      <c r="K1280" s="120">
        <v>0</v>
      </c>
      <c r="L1280" s="454"/>
      <c r="M1280" s="454"/>
      <c r="N1280" s="304"/>
      <c r="O1280" s="304"/>
      <c r="T1280" s="148"/>
    </row>
    <row r="1281" spans="1:15" ht="15" customHeight="1">
      <c r="A1281" s="299" t="s">
        <v>48</v>
      </c>
      <c r="B1281" s="299"/>
      <c r="C1281" s="111">
        <f>SUM(E1281:G1281)</f>
        <v>0</v>
      </c>
      <c r="D1281" s="120">
        <v>0</v>
      </c>
      <c r="E1281" s="120">
        <v>0</v>
      </c>
      <c r="F1281" s="120">
        <v>0</v>
      </c>
      <c r="G1281" s="120">
        <v>0</v>
      </c>
      <c r="H1281" s="28">
        <f t="shared" si="322"/>
        <v>0</v>
      </c>
      <c r="I1281" s="120">
        <v>0</v>
      </c>
      <c r="J1281" s="120">
        <v>0</v>
      </c>
      <c r="K1281" s="120">
        <v>0</v>
      </c>
      <c r="L1281" s="454"/>
      <c r="M1281" s="454"/>
      <c r="N1281" s="304"/>
      <c r="O1281" s="304"/>
    </row>
    <row r="1282" spans="1:15" ht="17.25" customHeight="1">
      <c r="A1282" s="299" t="s">
        <v>49</v>
      </c>
      <c r="B1282" s="299"/>
      <c r="C1282" s="112">
        <f>SUM(D1282:K1282)</f>
        <v>3600</v>
      </c>
      <c r="D1282" s="120">
        <v>450</v>
      </c>
      <c r="E1282" s="120">
        <v>450</v>
      </c>
      <c r="F1282" s="120">
        <v>450</v>
      </c>
      <c r="G1282" s="120">
        <v>450</v>
      </c>
      <c r="H1282" s="28">
        <f t="shared" si="322"/>
        <v>900</v>
      </c>
      <c r="I1282" s="120">
        <v>450</v>
      </c>
      <c r="J1282" s="120">
        <v>450</v>
      </c>
      <c r="K1282" s="120">
        <v>0</v>
      </c>
      <c r="L1282" s="454"/>
      <c r="M1282" s="454"/>
      <c r="N1282" s="305"/>
      <c r="O1282" s="305"/>
    </row>
    <row r="1283" spans="1:15" ht="51" customHeight="1">
      <c r="A1283" s="340" t="s">
        <v>352</v>
      </c>
      <c r="B1283" s="342"/>
      <c r="C1283" s="188"/>
      <c r="D1283" s="188"/>
      <c r="E1283" s="188"/>
      <c r="F1283" s="188"/>
      <c r="G1283" s="188"/>
      <c r="H1283" s="28"/>
      <c r="I1283" s="189"/>
      <c r="J1283" s="189"/>
      <c r="K1283" s="189"/>
      <c r="L1283" s="460"/>
      <c r="M1283" s="460"/>
      <c r="N1283" s="303" t="s">
        <v>315</v>
      </c>
      <c r="O1283" s="303" t="s">
        <v>251</v>
      </c>
    </row>
    <row r="1284" spans="1:15" ht="15" customHeight="1">
      <c r="A1284" s="299" t="s">
        <v>52</v>
      </c>
      <c r="B1284" s="299"/>
      <c r="C1284" s="120">
        <f aca="true" t="shared" si="327" ref="C1284:K1284">SUM(C1285:C1289)</f>
        <v>1000</v>
      </c>
      <c r="D1284" s="120">
        <f t="shared" si="327"/>
        <v>125</v>
      </c>
      <c r="E1284" s="120">
        <f t="shared" si="327"/>
        <v>125</v>
      </c>
      <c r="F1284" s="120">
        <f t="shared" si="327"/>
        <v>125</v>
      </c>
      <c r="G1284" s="120">
        <f>SUM(G1285:G1289)</f>
        <v>125</v>
      </c>
      <c r="H1284" s="28">
        <f t="shared" si="322"/>
        <v>250</v>
      </c>
      <c r="I1284" s="120">
        <f>SUM(I1285:I1289)</f>
        <v>125</v>
      </c>
      <c r="J1284" s="120">
        <f>SUM(J1285:J1289)</f>
        <v>125</v>
      </c>
      <c r="K1284" s="120">
        <f t="shared" si="327"/>
        <v>0</v>
      </c>
      <c r="L1284" s="460"/>
      <c r="M1284" s="460"/>
      <c r="N1284" s="304"/>
      <c r="O1284" s="304"/>
    </row>
    <row r="1285" spans="1:15" ht="15" customHeight="1">
      <c r="A1285" s="299" t="s">
        <v>45</v>
      </c>
      <c r="B1285" s="299"/>
      <c r="C1285" s="111">
        <f>SUM(E1285:G1285)</f>
        <v>0</v>
      </c>
      <c r="D1285" s="120">
        <v>0</v>
      </c>
      <c r="E1285" s="120">
        <v>0</v>
      </c>
      <c r="F1285" s="120">
        <v>0</v>
      </c>
      <c r="G1285" s="120">
        <v>0</v>
      </c>
      <c r="H1285" s="28">
        <f t="shared" si="322"/>
        <v>0</v>
      </c>
      <c r="I1285" s="120">
        <v>0</v>
      </c>
      <c r="J1285" s="120">
        <v>0</v>
      </c>
      <c r="K1285" s="120">
        <v>0</v>
      </c>
      <c r="L1285" s="460"/>
      <c r="M1285" s="460"/>
      <c r="N1285" s="304"/>
      <c r="O1285" s="304"/>
    </row>
    <row r="1286" spans="1:15" ht="15" customHeight="1">
      <c r="A1286" s="299" t="s">
        <v>46</v>
      </c>
      <c r="B1286" s="299"/>
      <c r="C1286" s="111">
        <f>SUM(E1286:G1286)</f>
        <v>0</v>
      </c>
      <c r="D1286" s="120">
        <v>0</v>
      </c>
      <c r="E1286" s="120">
        <v>0</v>
      </c>
      <c r="F1286" s="120">
        <v>0</v>
      </c>
      <c r="G1286" s="120">
        <v>0</v>
      </c>
      <c r="H1286" s="28">
        <f t="shared" si="322"/>
        <v>0</v>
      </c>
      <c r="I1286" s="120">
        <v>0</v>
      </c>
      <c r="J1286" s="120">
        <v>0</v>
      </c>
      <c r="K1286" s="120">
        <v>0</v>
      </c>
      <c r="L1286" s="460"/>
      <c r="M1286" s="460"/>
      <c r="N1286" s="304"/>
      <c r="O1286" s="304"/>
    </row>
    <row r="1287" spans="1:15" ht="15" customHeight="1">
      <c r="A1287" s="299" t="s">
        <v>47</v>
      </c>
      <c r="B1287" s="299"/>
      <c r="C1287" s="111">
        <f>SUM(E1287:G1287)</f>
        <v>0</v>
      </c>
      <c r="D1287" s="120">
        <v>0</v>
      </c>
      <c r="E1287" s="120">
        <v>0</v>
      </c>
      <c r="F1287" s="120">
        <v>0</v>
      </c>
      <c r="G1287" s="120">
        <v>0</v>
      </c>
      <c r="H1287" s="28">
        <f t="shared" si="322"/>
        <v>0</v>
      </c>
      <c r="I1287" s="120">
        <v>0</v>
      </c>
      <c r="J1287" s="120">
        <v>0</v>
      </c>
      <c r="K1287" s="120">
        <v>0</v>
      </c>
      <c r="L1287" s="460"/>
      <c r="M1287" s="460"/>
      <c r="N1287" s="304"/>
      <c r="O1287" s="304"/>
    </row>
    <row r="1288" spans="1:15" ht="15" customHeight="1">
      <c r="A1288" s="299" t="s">
        <v>48</v>
      </c>
      <c r="B1288" s="299"/>
      <c r="C1288" s="111">
        <f>SUM(E1288:G1288)</f>
        <v>0</v>
      </c>
      <c r="D1288" s="120">
        <v>0</v>
      </c>
      <c r="E1288" s="120">
        <v>0</v>
      </c>
      <c r="F1288" s="120">
        <v>0</v>
      </c>
      <c r="G1288" s="120">
        <v>0</v>
      </c>
      <c r="H1288" s="28">
        <f t="shared" si="322"/>
        <v>0</v>
      </c>
      <c r="I1288" s="120">
        <v>0</v>
      </c>
      <c r="J1288" s="120">
        <v>0</v>
      </c>
      <c r="K1288" s="120">
        <v>0</v>
      </c>
      <c r="L1288" s="460"/>
      <c r="M1288" s="460"/>
      <c r="N1288" s="304"/>
      <c r="O1288" s="304"/>
    </row>
    <row r="1289" spans="1:15" ht="27.75" customHeight="1">
      <c r="A1289" s="299" t="s">
        <v>49</v>
      </c>
      <c r="B1289" s="299"/>
      <c r="C1289" s="112">
        <f>SUM(D1289:K1289)</f>
        <v>1000</v>
      </c>
      <c r="D1289" s="120">
        <v>125</v>
      </c>
      <c r="E1289" s="120">
        <v>125</v>
      </c>
      <c r="F1289" s="120">
        <v>125</v>
      </c>
      <c r="G1289" s="120">
        <v>125</v>
      </c>
      <c r="H1289" s="28">
        <f t="shared" si="322"/>
        <v>250</v>
      </c>
      <c r="I1289" s="120">
        <v>125</v>
      </c>
      <c r="J1289" s="120">
        <v>125</v>
      </c>
      <c r="K1289" s="120">
        <v>0</v>
      </c>
      <c r="L1289" s="460"/>
      <c r="M1289" s="460"/>
      <c r="N1289" s="305"/>
      <c r="O1289" s="305"/>
    </row>
    <row r="1290" spans="1:15" ht="80.25" customHeight="1">
      <c r="A1290" s="340" t="s">
        <v>353</v>
      </c>
      <c r="B1290" s="341"/>
      <c r="C1290" s="189"/>
      <c r="D1290" s="189"/>
      <c r="E1290" s="189"/>
      <c r="F1290" s="189"/>
      <c r="G1290" s="189"/>
      <c r="H1290" s="28"/>
      <c r="I1290" s="189"/>
      <c r="J1290" s="189"/>
      <c r="K1290" s="189"/>
      <c r="L1290" s="454" t="s">
        <v>97</v>
      </c>
      <c r="M1290" s="454"/>
      <c r="N1290" s="303" t="s">
        <v>315</v>
      </c>
      <c r="O1290" s="303" t="s">
        <v>251</v>
      </c>
    </row>
    <row r="1291" spans="1:15" ht="15" customHeight="1">
      <c r="A1291" s="299" t="s">
        <v>52</v>
      </c>
      <c r="B1291" s="299"/>
      <c r="C1291" s="120">
        <f aca="true" t="shared" si="328" ref="C1291:K1291">SUM(C1292:C1296)</f>
        <v>3097.4889999999996</v>
      </c>
      <c r="D1291" s="120">
        <f t="shared" si="328"/>
        <v>240</v>
      </c>
      <c r="E1291" s="120">
        <f t="shared" si="328"/>
        <v>345.9</v>
      </c>
      <c r="F1291" s="120">
        <f t="shared" si="328"/>
        <v>381</v>
      </c>
      <c r="G1291" s="120">
        <f>SUM(G1292:G1296)</f>
        <v>318.379</v>
      </c>
      <c r="H1291" s="28">
        <f t="shared" si="322"/>
        <v>906.105</v>
      </c>
      <c r="I1291" s="120">
        <f>SUM(I1292:I1296)</f>
        <v>302.035</v>
      </c>
      <c r="J1291" s="120">
        <f>SUM(J1292:J1296)</f>
        <v>302.035</v>
      </c>
      <c r="K1291" s="120">
        <f t="shared" si="328"/>
        <v>302.035</v>
      </c>
      <c r="L1291" s="454"/>
      <c r="M1291" s="454"/>
      <c r="N1291" s="304"/>
      <c r="O1291" s="304"/>
    </row>
    <row r="1292" spans="1:15" ht="15" customHeight="1">
      <c r="A1292" s="299" t="s">
        <v>45</v>
      </c>
      <c r="B1292" s="299"/>
      <c r="C1292" s="111">
        <f>SUM(E1292:G1292)</f>
        <v>0</v>
      </c>
      <c r="D1292" s="120">
        <v>0</v>
      </c>
      <c r="E1292" s="120">
        <v>0</v>
      </c>
      <c r="F1292" s="120">
        <v>0</v>
      </c>
      <c r="G1292" s="120">
        <v>0</v>
      </c>
      <c r="H1292" s="28">
        <f t="shared" si="322"/>
        <v>0</v>
      </c>
      <c r="I1292" s="120">
        <v>0</v>
      </c>
      <c r="J1292" s="120">
        <v>0</v>
      </c>
      <c r="K1292" s="120">
        <v>0</v>
      </c>
      <c r="L1292" s="454"/>
      <c r="M1292" s="454"/>
      <c r="N1292" s="304"/>
      <c r="O1292" s="304"/>
    </row>
    <row r="1293" spans="1:15" ht="15" customHeight="1">
      <c r="A1293" s="299" t="s">
        <v>46</v>
      </c>
      <c r="B1293" s="299"/>
      <c r="C1293" s="112">
        <f>SUM(D1293:K1293)</f>
        <v>3097.4889999999996</v>
      </c>
      <c r="D1293" s="120">
        <v>240</v>
      </c>
      <c r="E1293" s="120">
        <v>345.9</v>
      </c>
      <c r="F1293" s="120">
        <v>381</v>
      </c>
      <c r="G1293" s="120">
        <v>318.379</v>
      </c>
      <c r="H1293" s="28">
        <f t="shared" si="322"/>
        <v>906.105</v>
      </c>
      <c r="I1293" s="120">
        <v>302.035</v>
      </c>
      <c r="J1293" s="120">
        <v>302.035</v>
      </c>
      <c r="K1293" s="120">
        <v>302.035</v>
      </c>
      <c r="L1293" s="454"/>
      <c r="M1293" s="454"/>
      <c r="N1293" s="304"/>
      <c r="O1293" s="304"/>
    </row>
    <row r="1294" spans="1:15" ht="15" customHeight="1">
      <c r="A1294" s="299" t="s">
        <v>47</v>
      </c>
      <c r="B1294" s="299"/>
      <c r="C1294" s="111">
        <f>SUM(E1294:G1294)</f>
        <v>0</v>
      </c>
      <c r="D1294" s="120">
        <v>0</v>
      </c>
      <c r="E1294" s="120">
        <v>0</v>
      </c>
      <c r="F1294" s="120">
        <v>0</v>
      </c>
      <c r="G1294" s="120">
        <v>0</v>
      </c>
      <c r="H1294" s="28">
        <f t="shared" si="322"/>
        <v>0</v>
      </c>
      <c r="I1294" s="120">
        <v>0</v>
      </c>
      <c r="J1294" s="120">
        <v>0</v>
      </c>
      <c r="K1294" s="120">
        <v>0</v>
      </c>
      <c r="L1294" s="454"/>
      <c r="M1294" s="454"/>
      <c r="N1294" s="304"/>
      <c r="O1294" s="304"/>
    </row>
    <row r="1295" spans="1:15" ht="15" customHeight="1">
      <c r="A1295" s="299" t="s">
        <v>48</v>
      </c>
      <c r="B1295" s="299"/>
      <c r="C1295" s="111">
        <f>SUM(E1295:G1295)</f>
        <v>0</v>
      </c>
      <c r="D1295" s="120">
        <v>0</v>
      </c>
      <c r="E1295" s="120">
        <v>0</v>
      </c>
      <c r="F1295" s="120">
        <v>0</v>
      </c>
      <c r="G1295" s="120">
        <v>0</v>
      </c>
      <c r="H1295" s="28">
        <f t="shared" si="322"/>
        <v>0</v>
      </c>
      <c r="I1295" s="120">
        <v>0</v>
      </c>
      <c r="J1295" s="120">
        <v>0</v>
      </c>
      <c r="K1295" s="120">
        <v>0</v>
      </c>
      <c r="L1295" s="454"/>
      <c r="M1295" s="454"/>
      <c r="N1295" s="304"/>
      <c r="O1295" s="304"/>
    </row>
    <row r="1296" spans="1:15" ht="15" customHeight="1">
      <c r="A1296" s="299" t="s">
        <v>49</v>
      </c>
      <c r="B1296" s="299"/>
      <c r="C1296" s="111">
        <f>SUM(E1296:G1296)</f>
        <v>0</v>
      </c>
      <c r="D1296" s="120">
        <v>0</v>
      </c>
      <c r="E1296" s="120">
        <v>0</v>
      </c>
      <c r="F1296" s="120">
        <v>0</v>
      </c>
      <c r="G1296" s="120">
        <v>0</v>
      </c>
      <c r="H1296" s="28">
        <f t="shared" si="322"/>
        <v>0</v>
      </c>
      <c r="I1296" s="120">
        <v>0</v>
      </c>
      <c r="J1296" s="120">
        <v>0</v>
      </c>
      <c r="K1296" s="120">
        <v>0</v>
      </c>
      <c r="L1296" s="454"/>
      <c r="M1296" s="454"/>
      <c r="N1296" s="305"/>
      <c r="O1296" s="305"/>
    </row>
    <row r="1297" spans="1:15" ht="46.5" customHeight="1">
      <c r="A1297" s="455" t="s">
        <v>354</v>
      </c>
      <c r="B1297" s="456"/>
      <c r="C1297" s="188"/>
      <c r="D1297" s="188"/>
      <c r="E1297" s="188"/>
      <c r="F1297" s="188"/>
      <c r="G1297" s="188"/>
      <c r="H1297" s="28"/>
      <c r="I1297" s="189"/>
      <c r="J1297" s="189"/>
      <c r="K1297" s="189"/>
      <c r="L1297" s="454"/>
      <c r="M1297" s="454"/>
      <c r="N1297" s="453" t="s">
        <v>374</v>
      </c>
      <c r="O1297" s="453" t="s">
        <v>359</v>
      </c>
    </row>
    <row r="1298" spans="1:15" ht="15" customHeight="1">
      <c r="A1298" s="299" t="s">
        <v>52</v>
      </c>
      <c r="B1298" s="299"/>
      <c r="C1298" s="120">
        <f aca="true" t="shared" si="329" ref="C1298:K1298">C1299+C1300+C1305+C1306+C1307</f>
        <v>678615.04637</v>
      </c>
      <c r="D1298" s="120">
        <f t="shared" si="329"/>
        <v>189451</v>
      </c>
      <c r="E1298" s="120">
        <f t="shared" si="329"/>
        <v>114886.75529</v>
      </c>
      <c r="F1298" s="120">
        <f t="shared" si="329"/>
        <v>78150.76699</v>
      </c>
      <c r="G1298" s="126">
        <f t="shared" si="329"/>
        <v>143322.52409</v>
      </c>
      <c r="H1298" s="28">
        <f t="shared" si="322"/>
        <v>76402</v>
      </c>
      <c r="I1298" s="126">
        <f t="shared" si="329"/>
        <v>76402</v>
      </c>
      <c r="J1298" s="126">
        <f t="shared" si="329"/>
        <v>0</v>
      </c>
      <c r="K1298" s="126">
        <f t="shared" si="329"/>
        <v>0</v>
      </c>
      <c r="L1298" s="454"/>
      <c r="M1298" s="454"/>
      <c r="N1298" s="453"/>
      <c r="O1298" s="453"/>
    </row>
    <row r="1299" spans="1:15" ht="15" customHeight="1">
      <c r="A1299" s="299" t="s">
        <v>45</v>
      </c>
      <c r="B1299" s="299"/>
      <c r="C1299" s="111">
        <f aca="true" t="shared" si="330" ref="C1299:C1307">SUM(E1299:G1299)</f>
        <v>0</v>
      </c>
      <c r="D1299" s="120">
        <f>D1310+D1317+D1326+D1333+D1362</f>
        <v>0</v>
      </c>
      <c r="E1299" s="120">
        <f>E1310+E1317+E1326+E1333+E1362</f>
        <v>0</v>
      </c>
      <c r="F1299" s="120">
        <f>F1310+F1317+F1326+F1333+F1362</f>
        <v>0</v>
      </c>
      <c r="G1299" s="126">
        <v>0</v>
      </c>
      <c r="H1299" s="28">
        <f t="shared" si="322"/>
        <v>0</v>
      </c>
      <c r="I1299" s="120">
        <v>0</v>
      </c>
      <c r="J1299" s="120">
        <v>0</v>
      </c>
      <c r="K1299" s="120">
        <v>0</v>
      </c>
      <c r="L1299" s="454"/>
      <c r="M1299" s="454"/>
      <c r="N1299" s="453"/>
      <c r="O1299" s="453"/>
    </row>
    <row r="1300" spans="1:15" ht="15" customHeight="1">
      <c r="A1300" s="299" t="s">
        <v>46</v>
      </c>
      <c r="B1300" s="299"/>
      <c r="C1300" s="112">
        <f>SUM(D1300:K1300)</f>
        <v>678615.04637</v>
      </c>
      <c r="D1300" s="120">
        <f aca="true" t="shared" si="331" ref="D1300:K1300">SUM(D1301:D1304)</f>
        <v>189451</v>
      </c>
      <c r="E1300" s="120">
        <f t="shared" si="331"/>
        <v>114886.75529</v>
      </c>
      <c r="F1300" s="120">
        <f>SUM(F1301:F1304)</f>
        <v>78150.76699</v>
      </c>
      <c r="G1300" s="126">
        <f t="shared" si="331"/>
        <v>143322.52409</v>
      </c>
      <c r="H1300" s="28">
        <f t="shared" si="322"/>
        <v>76402</v>
      </c>
      <c r="I1300" s="126">
        <f t="shared" si="331"/>
        <v>76402</v>
      </c>
      <c r="J1300" s="126">
        <f t="shared" si="331"/>
        <v>0</v>
      </c>
      <c r="K1300" s="126">
        <f t="shared" si="331"/>
        <v>0</v>
      </c>
      <c r="L1300" s="454"/>
      <c r="M1300" s="454"/>
      <c r="N1300" s="453"/>
      <c r="O1300" s="453"/>
    </row>
    <row r="1301" spans="1:15" ht="15" customHeight="1">
      <c r="A1301" s="299" t="s">
        <v>46</v>
      </c>
      <c r="B1301" s="299"/>
      <c r="C1301" s="111">
        <f t="shared" si="330"/>
        <v>0</v>
      </c>
      <c r="D1301" s="120">
        <f aca="true" t="shared" si="332" ref="D1301:K1301">D1311</f>
        <v>0</v>
      </c>
      <c r="E1301" s="120">
        <f t="shared" si="332"/>
        <v>0</v>
      </c>
      <c r="F1301" s="120">
        <f t="shared" si="332"/>
        <v>0</v>
      </c>
      <c r="G1301" s="126">
        <f t="shared" si="332"/>
        <v>0</v>
      </c>
      <c r="H1301" s="28">
        <f t="shared" si="322"/>
        <v>0</v>
      </c>
      <c r="I1301" s="120">
        <f t="shared" si="332"/>
        <v>0</v>
      </c>
      <c r="J1301" s="120">
        <f t="shared" si="332"/>
        <v>0</v>
      </c>
      <c r="K1301" s="120">
        <f t="shared" si="332"/>
        <v>0</v>
      </c>
      <c r="L1301" s="454"/>
      <c r="M1301" s="454"/>
      <c r="N1301" s="453"/>
      <c r="O1301" s="453"/>
    </row>
    <row r="1302" spans="1:15" ht="15" customHeight="1">
      <c r="A1302" s="299" t="s">
        <v>46</v>
      </c>
      <c r="B1302" s="299"/>
      <c r="C1302" s="112">
        <f>SUM(D1302:K1302)</f>
        <v>302718.00529</v>
      </c>
      <c r="D1302" s="120">
        <f aca="true" t="shared" si="333" ref="D1302:K1303">D1318</f>
        <v>188000</v>
      </c>
      <c r="E1302" s="120">
        <f t="shared" si="333"/>
        <v>114718.00529</v>
      </c>
      <c r="F1302" s="120">
        <f t="shared" si="333"/>
        <v>0</v>
      </c>
      <c r="G1302" s="126">
        <f t="shared" si="333"/>
        <v>0</v>
      </c>
      <c r="H1302" s="28">
        <f t="shared" si="322"/>
        <v>0</v>
      </c>
      <c r="I1302" s="120">
        <f t="shared" si="333"/>
        <v>0</v>
      </c>
      <c r="J1302" s="120">
        <f t="shared" si="333"/>
        <v>0</v>
      </c>
      <c r="K1302" s="120">
        <f t="shared" si="333"/>
        <v>0</v>
      </c>
      <c r="L1302" s="454"/>
      <c r="M1302" s="454"/>
      <c r="N1302" s="453"/>
      <c r="O1302" s="453"/>
    </row>
    <row r="1303" spans="1:15" ht="15" customHeight="1">
      <c r="A1303" s="299" t="s">
        <v>46</v>
      </c>
      <c r="B1303" s="299"/>
      <c r="C1303" s="112">
        <f>SUM(D1303:K1303)</f>
        <v>373932.41402</v>
      </c>
      <c r="D1303" s="120"/>
      <c r="E1303" s="120">
        <f t="shared" si="333"/>
        <v>0</v>
      </c>
      <c r="F1303" s="120">
        <f t="shared" si="333"/>
        <v>77805.88993</v>
      </c>
      <c r="G1303" s="126">
        <f>G1319</f>
        <v>143322.52409</v>
      </c>
      <c r="H1303" s="28">
        <f t="shared" si="322"/>
        <v>76402</v>
      </c>
      <c r="I1303" s="126">
        <f>I1319</f>
        <v>76402</v>
      </c>
      <c r="J1303" s="126">
        <f>J1319</f>
        <v>0</v>
      </c>
      <c r="K1303" s="126">
        <f>K1319</f>
        <v>0</v>
      </c>
      <c r="L1303" s="454"/>
      <c r="M1303" s="454"/>
      <c r="N1303" s="453"/>
      <c r="O1303" s="453"/>
    </row>
    <row r="1304" spans="1:15" ht="15" customHeight="1">
      <c r="A1304" s="299" t="s">
        <v>46</v>
      </c>
      <c r="B1304" s="299"/>
      <c r="C1304" s="112">
        <f>SUM(D1304:K1304)</f>
        <v>1964.62706</v>
      </c>
      <c r="D1304" s="120">
        <f>D1327+D1334</f>
        <v>1451</v>
      </c>
      <c r="E1304" s="120">
        <f>E1327+E1334</f>
        <v>168.75</v>
      </c>
      <c r="F1304" s="120">
        <f>F1327+F1334+F1355</f>
        <v>344.87706</v>
      </c>
      <c r="G1304" s="126">
        <f>G1327+G1334</f>
        <v>0</v>
      </c>
      <c r="H1304" s="28">
        <f t="shared" si="322"/>
        <v>0</v>
      </c>
      <c r="I1304" s="120">
        <f>I1327+I1334</f>
        <v>0</v>
      </c>
      <c r="J1304" s="120">
        <v>0</v>
      </c>
      <c r="K1304" s="120">
        <v>0</v>
      </c>
      <c r="L1304" s="454"/>
      <c r="M1304" s="454"/>
      <c r="N1304" s="453"/>
      <c r="O1304" s="453"/>
    </row>
    <row r="1305" spans="1:15" ht="27.75" customHeight="1">
      <c r="A1305" s="299" t="s">
        <v>47</v>
      </c>
      <c r="B1305" s="299"/>
      <c r="C1305" s="111">
        <f t="shared" si="330"/>
        <v>0</v>
      </c>
      <c r="D1305" s="120">
        <f aca="true" t="shared" si="334" ref="D1305:G1307">D1312+D1320+D1328+D1335+D1364</f>
        <v>0</v>
      </c>
      <c r="E1305" s="120">
        <f t="shared" si="334"/>
        <v>0</v>
      </c>
      <c r="F1305" s="120">
        <f t="shared" si="334"/>
        <v>0</v>
      </c>
      <c r="G1305" s="126">
        <f t="shared" si="334"/>
        <v>0</v>
      </c>
      <c r="H1305" s="28">
        <f t="shared" si="322"/>
        <v>0</v>
      </c>
      <c r="I1305" s="120">
        <f aca="true" t="shared" si="335" ref="I1305:K1307">I1312+I1320+I1328+I1335+I1364</f>
        <v>0</v>
      </c>
      <c r="J1305" s="120">
        <f t="shared" si="335"/>
        <v>0</v>
      </c>
      <c r="K1305" s="120">
        <f t="shared" si="335"/>
        <v>0</v>
      </c>
      <c r="L1305" s="454"/>
      <c r="M1305" s="454"/>
      <c r="N1305" s="453"/>
      <c r="O1305" s="453"/>
    </row>
    <row r="1306" spans="1:15" ht="15" customHeight="1">
      <c r="A1306" s="299" t="s">
        <v>48</v>
      </c>
      <c r="B1306" s="299"/>
      <c r="C1306" s="111">
        <f t="shared" si="330"/>
        <v>0</v>
      </c>
      <c r="D1306" s="120">
        <f t="shared" si="334"/>
        <v>0</v>
      </c>
      <c r="E1306" s="120">
        <f t="shared" si="334"/>
        <v>0</v>
      </c>
      <c r="F1306" s="120">
        <f t="shared" si="334"/>
        <v>0</v>
      </c>
      <c r="G1306" s="126">
        <f t="shared" si="334"/>
        <v>0</v>
      </c>
      <c r="H1306" s="28">
        <f t="shared" si="322"/>
        <v>0</v>
      </c>
      <c r="I1306" s="120">
        <f t="shared" si="335"/>
        <v>0</v>
      </c>
      <c r="J1306" s="120">
        <f t="shared" si="335"/>
        <v>0</v>
      </c>
      <c r="K1306" s="120">
        <f t="shared" si="335"/>
        <v>0</v>
      </c>
      <c r="L1306" s="454"/>
      <c r="M1306" s="454"/>
      <c r="N1306" s="453"/>
      <c r="O1306" s="453"/>
    </row>
    <row r="1307" spans="1:15" ht="15" customHeight="1">
      <c r="A1307" s="299" t="s">
        <v>49</v>
      </c>
      <c r="B1307" s="299"/>
      <c r="C1307" s="111">
        <f t="shared" si="330"/>
        <v>0</v>
      </c>
      <c r="D1307" s="120">
        <f t="shared" si="334"/>
        <v>0</v>
      </c>
      <c r="E1307" s="120">
        <f t="shared" si="334"/>
        <v>0</v>
      </c>
      <c r="F1307" s="120">
        <f t="shared" si="334"/>
        <v>0</v>
      </c>
      <c r="G1307" s="126">
        <f t="shared" si="334"/>
        <v>0</v>
      </c>
      <c r="H1307" s="28">
        <f t="shared" si="322"/>
        <v>0</v>
      </c>
      <c r="I1307" s="120">
        <f t="shared" si="335"/>
        <v>0</v>
      </c>
      <c r="J1307" s="120">
        <f t="shared" si="335"/>
        <v>0</v>
      </c>
      <c r="K1307" s="120">
        <f t="shared" si="335"/>
        <v>0</v>
      </c>
      <c r="L1307" s="454"/>
      <c r="M1307" s="454"/>
      <c r="N1307" s="453"/>
      <c r="O1307" s="453"/>
    </row>
    <row r="1308" spans="1:15" ht="65.25" customHeight="1">
      <c r="A1308" s="340" t="s">
        <v>357</v>
      </c>
      <c r="B1308" s="341"/>
      <c r="C1308" s="189"/>
      <c r="D1308" s="189"/>
      <c r="E1308" s="189"/>
      <c r="F1308" s="189"/>
      <c r="G1308" s="189"/>
      <c r="H1308" s="28"/>
      <c r="I1308" s="189"/>
      <c r="J1308" s="189"/>
      <c r="K1308" s="189"/>
      <c r="L1308" s="454"/>
      <c r="M1308" s="454"/>
      <c r="N1308" s="453"/>
      <c r="O1308" s="453"/>
    </row>
    <row r="1309" spans="1:15" ht="15" customHeight="1">
      <c r="A1309" s="299" t="s">
        <v>52</v>
      </c>
      <c r="B1309" s="299"/>
      <c r="C1309" s="111">
        <f aca="true" t="shared" si="336" ref="C1309:C1314">SUM(E1309:G1309)</f>
        <v>0</v>
      </c>
      <c r="D1309" s="120">
        <f aca="true" t="shared" si="337" ref="D1309:J1309">SUM(D1310:D1314)</f>
        <v>0</v>
      </c>
      <c r="E1309" s="120">
        <f t="shared" si="337"/>
        <v>0</v>
      </c>
      <c r="F1309" s="120">
        <f t="shared" si="337"/>
        <v>0</v>
      </c>
      <c r="G1309" s="120">
        <f t="shared" si="337"/>
        <v>0</v>
      </c>
      <c r="H1309" s="28">
        <f t="shared" si="322"/>
        <v>0</v>
      </c>
      <c r="I1309" s="120">
        <f t="shared" si="337"/>
        <v>0</v>
      </c>
      <c r="J1309" s="120">
        <f t="shared" si="337"/>
        <v>0</v>
      </c>
      <c r="K1309" s="120">
        <v>0</v>
      </c>
      <c r="L1309" s="454"/>
      <c r="M1309" s="454"/>
      <c r="N1309" s="453"/>
      <c r="O1309" s="453"/>
    </row>
    <row r="1310" spans="1:15" ht="15" customHeight="1">
      <c r="A1310" s="299" t="s">
        <v>45</v>
      </c>
      <c r="B1310" s="299"/>
      <c r="C1310" s="111">
        <f t="shared" si="336"/>
        <v>0</v>
      </c>
      <c r="D1310" s="120">
        <v>0</v>
      </c>
      <c r="E1310" s="120">
        <v>0</v>
      </c>
      <c r="F1310" s="120">
        <v>0</v>
      </c>
      <c r="G1310" s="120">
        <v>0</v>
      </c>
      <c r="H1310" s="28">
        <f t="shared" si="322"/>
        <v>0</v>
      </c>
      <c r="I1310" s="120">
        <v>0</v>
      </c>
      <c r="J1310" s="120">
        <v>0</v>
      </c>
      <c r="K1310" s="120">
        <v>0</v>
      </c>
      <c r="L1310" s="454"/>
      <c r="M1310" s="454"/>
      <c r="N1310" s="453"/>
      <c r="O1310" s="453"/>
    </row>
    <row r="1311" spans="1:15" ht="15" customHeight="1">
      <c r="A1311" s="299" t="s">
        <v>46</v>
      </c>
      <c r="B1311" s="299"/>
      <c r="C1311" s="111">
        <f t="shared" si="336"/>
        <v>0</v>
      </c>
      <c r="D1311" s="120">
        <v>0</v>
      </c>
      <c r="E1311" s="120">
        <v>0</v>
      </c>
      <c r="F1311" s="120">
        <v>0</v>
      </c>
      <c r="G1311" s="120">
        <v>0</v>
      </c>
      <c r="H1311" s="28">
        <f t="shared" si="322"/>
        <v>0</v>
      </c>
      <c r="I1311" s="120">
        <v>0</v>
      </c>
      <c r="J1311" s="120">
        <v>0</v>
      </c>
      <c r="K1311" s="120">
        <v>0</v>
      </c>
      <c r="L1311" s="454"/>
      <c r="M1311" s="454"/>
      <c r="N1311" s="453"/>
      <c r="O1311" s="453"/>
    </row>
    <row r="1312" spans="1:15" ht="17.25" customHeight="1">
      <c r="A1312" s="299" t="s">
        <v>47</v>
      </c>
      <c r="B1312" s="299"/>
      <c r="C1312" s="111">
        <f>SUM(E1312:G1312)</f>
        <v>0</v>
      </c>
      <c r="D1312" s="120">
        <v>0</v>
      </c>
      <c r="E1312" s="120">
        <v>0</v>
      </c>
      <c r="F1312" s="120">
        <v>0</v>
      </c>
      <c r="G1312" s="120">
        <v>0</v>
      </c>
      <c r="H1312" s="28">
        <f t="shared" si="322"/>
        <v>0</v>
      </c>
      <c r="I1312" s="120">
        <v>0</v>
      </c>
      <c r="J1312" s="120">
        <v>0</v>
      </c>
      <c r="K1312" s="120">
        <v>0</v>
      </c>
      <c r="L1312" s="454"/>
      <c r="M1312" s="454"/>
      <c r="N1312" s="453"/>
      <c r="O1312" s="453"/>
    </row>
    <row r="1313" spans="1:15" ht="19.5" customHeight="1">
      <c r="A1313" s="299" t="s">
        <v>48</v>
      </c>
      <c r="B1313" s="299"/>
      <c r="C1313" s="111">
        <f t="shared" si="336"/>
        <v>0</v>
      </c>
      <c r="D1313" s="120">
        <v>0</v>
      </c>
      <c r="E1313" s="120">
        <v>0</v>
      </c>
      <c r="F1313" s="120">
        <v>0</v>
      </c>
      <c r="G1313" s="120">
        <v>0</v>
      </c>
      <c r="H1313" s="28">
        <f t="shared" si="322"/>
        <v>0</v>
      </c>
      <c r="I1313" s="120">
        <v>0</v>
      </c>
      <c r="J1313" s="120">
        <v>0</v>
      </c>
      <c r="K1313" s="120">
        <v>0</v>
      </c>
      <c r="L1313" s="454"/>
      <c r="M1313" s="454"/>
      <c r="N1313" s="453"/>
      <c r="O1313" s="453"/>
    </row>
    <row r="1314" spans="1:15" ht="15" customHeight="1">
      <c r="A1314" s="299" t="s">
        <v>49</v>
      </c>
      <c r="B1314" s="299"/>
      <c r="C1314" s="111">
        <f t="shared" si="336"/>
        <v>0</v>
      </c>
      <c r="D1314" s="120">
        <v>0</v>
      </c>
      <c r="E1314" s="120">
        <v>0</v>
      </c>
      <c r="F1314" s="120">
        <v>0</v>
      </c>
      <c r="G1314" s="120">
        <v>0</v>
      </c>
      <c r="H1314" s="28">
        <f t="shared" si="322"/>
        <v>0</v>
      </c>
      <c r="I1314" s="120">
        <v>0</v>
      </c>
      <c r="J1314" s="120">
        <v>0</v>
      </c>
      <c r="K1314" s="120">
        <v>0</v>
      </c>
      <c r="L1314" s="454"/>
      <c r="M1314" s="454"/>
      <c r="N1314" s="453"/>
      <c r="O1314" s="453"/>
    </row>
    <row r="1315" spans="1:15" ht="66.75" customHeight="1">
      <c r="A1315" s="340" t="s">
        <v>358</v>
      </c>
      <c r="B1315" s="341"/>
      <c r="C1315" s="189"/>
      <c r="D1315" s="189"/>
      <c r="E1315" s="189"/>
      <c r="F1315" s="189"/>
      <c r="G1315" s="189"/>
      <c r="H1315" s="28"/>
      <c r="I1315" s="189"/>
      <c r="J1315" s="189"/>
      <c r="K1315" s="189"/>
      <c r="L1315" s="466" t="s">
        <v>26</v>
      </c>
      <c r="M1315" s="454"/>
      <c r="N1315" s="453" t="s">
        <v>88</v>
      </c>
      <c r="O1315" s="453" t="s">
        <v>359</v>
      </c>
    </row>
    <row r="1316" spans="1:15" ht="15" customHeight="1">
      <c r="A1316" s="299" t="s">
        <v>52</v>
      </c>
      <c r="B1316" s="299"/>
      <c r="C1316" s="120">
        <f aca="true" t="shared" si="338" ref="C1316:K1316">SUM(C1317:C1322)</f>
        <v>676650.41931</v>
      </c>
      <c r="D1316" s="120">
        <f t="shared" si="338"/>
        <v>188000</v>
      </c>
      <c r="E1316" s="120">
        <f t="shared" si="338"/>
        <v>114718.00529</v>
      </c>
      <c r="F1316" s="120">
        <f t="shared" si="338"/>
        <v>77805.88993</v>
      </c>
      <c r="G1316" s="120">
        <f t="shared" si="338"/>
        <v>143322.52409</v>
      </c>
      <c r="H1316" s="28">
        <f t="shared" si="322"/>
        <v>76402</v>
      </c>
      <c r="I1316" s="120">
        <f t="shared" si="338"/>
        <v>76402</v>
      </c>
      <c r="J1316" s="120">
        <f t="shared" si="338"/>
        <v>0</v>
      </c>
      <c r="K1316" s="120">
        <f t="shared" si="338"/>
        <v>0</v>
      </c>
      <c r="L1316" s="466"/>
      <c r="M1316" s="454"/>
      <c r="N1316" s="453"/>
      <c r="O1316" s="453"/>
    </row>
    <row r="1317" spans="1:15" ht="15" customHeight="1">
      <c r="A1317" s="299" t="s">
        <v>45</v>
      </c>
      <c r="B1317" s="299"/>
      <c r="C1317" s="111">
        <f>SUM(E1317:G1317)</f>
        <v>0</v>
      </c>
      <c r="D1317" s="120">
        <v>0</v>
      </c>
      <c r="E1317" s="120">
        <v>0</v>
      </c>
      <c r="F1317" s="120">
        <v>0</v>
      </c>
      <c r="G1317" s="126">
        <v>0</v>
      </c>
      <c r="H1317" s="28">
        <f t="shared" si="322"/>
        <v>0</v>
      </c>
      <c r="I1317" s="120">
        <v>0</v>
      </c>
      <c r="J1317" s="120">
        <v>0</v>
      </c>
      <c r="K1317" s="120">
        <v>0</v>
      </c>
      <c r="L1317" s="466"/>
      <c r="M1317" s="454"/>
      <c r="N1317" s="453"/>
      <c r="O1317" s="453"/>
    </row>
    <row r="1318" spans="1:15" ht="15" customHeight="1">
      <c r="A1318" s="299" t="s">
        <v>46</v>
      </c>
      <c r="B1318" s="299"/>
      <c r="C1318" s="112">
        <f>SUM(D1318:K1318)</f>
        <v>302718.00529</v>
      </c>
      <c r="D1318" s="120">
        <v>188000</v>
      </c>
      <c r="E1318" s="120">
        <v>114718.00529</v>
      </c>
      <c r="F1318" s="120">
        <v>0</v>
      </c>
      <c r="G1318" s="120">
        <v>0</v>
      </c>
      <c r="H1318" s="28">
        <f t="shared" si="322"/>
        <v>0</v>
      </c>
      <c r="I1318" s="126">
        <v>0</v>
      </c>
      <c r="J1318" s="126">
        <v>0</v>
      </c>
      <c r="K1318" s="126">
        <v>0</v>
      </c>
      <c r="L1318" s="466"/>
      <c r="M1318" s="454"/>
      <c r="N1318" s="453"/>
      <c r="O1318" s="453"/>
    </row>
    <row r="1319" spans="1:15" ht="15" customHeight="1">
      <c r="A1319" s="299" t="s">
        <v>46</v>
      </c>
      <c r="B1319" s="299"/>
      <c r="C1319" s="112">
        <f>SUM(D1319:K1319)</f>
        <v>373932.41402</v>
      </c>
      <c r="D1319" s="120">
        <v>0</v>
      </c>
      <c r="E1319" s="120">
        <v>0</v>
      </c>
      <c r="F1319" s="120">
        <v>77805.88993</v>
      </c>
      <c r="G1319" s="120">
        <v>143322.52409</v>
      </c>
      <c r="H1319" s="28">
        <f t="shared" si="322"/>
        <v>76402</v>
      </c>
      <c r="I1319" s="126">
        <v>76402</v>
      </c>
      <c r="J1319" s="126">
        <v>0</v>
      </c>
      <c r="K1319" s="126">
        <v>0</v>
      </c>
      <c r="L1319" s="466"/>
      <c r="M1319" s="454"/>
      <c r="N1319" s="453"/>
      <c r="O1319" s="453"/>
    </row>
    <row r="1320" spans="1:15" ht="16.5" customHeight="1">
      <c r="A1320" s="299" t="s">
        <v>47</v>
      </c>
      <c r="B1320" s="299"/>
      <c r="C1320" s="111">
        <f>SUM(E1320:G1320)</f>
        <v>0</v>
      </c>
      <c r="D1320" s="120">
        <v>0</v>
      </c>
      <c r="E1320" s="120">
        <v>0</v>
      </c>
      <c r="F1320" s="120">
        <v>0</v>
      </c>
      <c r="G1320" s="126">
        <v>0</v>
      </c>
      <c r="H1320" s="28">
        <f t="shared" si="322"/>
        <v>0</v>
      </c>
      <c r="I1320" s="126">
        <v>0</v>
      </c>
      <c r="J1320" s="126">
        <v>0</v>
      </c>
      <c r="K1320" s="126">
        <v>0</v>
      </c>
      <c r="L1320" s="466"/>
      <c r="M1320" s="454"/>
      <c r="N1320" s="453"/>
      <c r="O1320" s="453"/>
    </row>
    <row r="1321" spans="1:15" ht="15" customHeight="1">
      <c r="A1321" s="299" t="s">
        <v>48</v>
      </c>
      <c r="B1321" s="299"/>
      <c r="C1321" s="111">
        <f>SUM(E1321:G1321)</f>
        <v>0</v>
      </c>
      <c r="D1321" s="120">
        <v>0</v>
      </c>
      <c r="E1321" s="120">
        <v>0</v>
      </c>
      <c r="F1321" s="120">
        <v>0</v>
      </c>
      <c r="G1321" s="126">
        <v>0</v>
      </c>
      <c r="H1321" s="28">
        <f t="shared" si="322"/>
        <v>0</v>
      </c>
      <c r="I1321" s="120">
        <v>0</v>
      </c>
      <c r="J1321" s="120">
        <v>0</v>
      </c>
      <c r="K1321" s="120">
        <v>0</v>
      </c>
      <c r="L1321" s="466"/>
      <c r="M1321" s="454"/>
      <c r="N1321" s="453"/>
      <c r="O1321" s="453"/>
    </row>
    <row r="1322" spans="1:15" ht="15" customHeight="1">
      <c r="A1322" s="299" t="s">
        <v>49</v>
      </c>
      <c r="B1322" s="299"/>
      <c r="C1322" s="111">
        <f>SUM(E1322:G1322)</f>
        <v>0</v>
      </c>
      <c r="D1322" s="120">
        <v>0</v>
      </c>
      <c r="E1322" s="120">
        <v>0</v>
      </c>
      <c r="F1322" s="120">
        <v>0</v>
      </c>
      <c r="G1322" s="126">
        <v>0</v>
      </c>
      <c r="H1322" s="28">
        <f t="shared" si="322"/>
        <v>0</v>
      </c>
      <c r="I1322" s="120">
        <v>0</v>
      </c>
      <c r="J1322" s="120">
        <v>0</v>
      </c>
      <c r="K1322" s="120">
        <v>0</v>
      </c>
      <c r="L1322" s="466"/>
      <c r="M1322" s="454"/>
      <c r="N1322" s="453"/>
      <c r="O1322" s="453"/>
    </row>
    <row r="1323" spans="1:15" ht="90" customHeight="1">
      <c r="A1323" s="458" t="s">
        <v>405</v>
      </c>
      <c r="B1323" s="459"/>
      <c r="C1323" s="178"/>
      <c r="D1323" s="178"/>
      <c r="E1323" s="178"/>
      <c r="F1323" s="178"/>
      <c r="G1323" s="178"/>
      <c r="H1323" s="28"/>
      <c r="I1323" s="180"/>
      <c r="J1323" s="180"/>
      <c r="K1323" s="180"/>
      <c r="L1323" s="19"/>
      <c r="M1323" s="19"/>
      <c r="N1323" s="203"/>
      <c r="O1323" s="221" t="s">
        <v>406</v>
      </c>
    </row>
    <row r="1324" spans="1:15" ht="36.75" customHeight="1">
      <c r="A1324" s="340" t="s">
        <v>360</v>
      </c>
      <c r="B1324" s="342"/>
      <c r="C1324" s="188"/>
      <c r="D1324" s="188"/>
      <c r="E1324" s="188"/>
      <c r="F1324" s="188"/>
      <c r="G1324" s="188"/>
      <c r="H1324" s="28"/>
      <c r="I1324" s="189"/>
      <c r="J1324" s="189"/>
      <c r="K1324" s="189"/>
      <c r="L1324" s="454" t="s">
        <v>224</v>
      </c>
      <c r="M1324" s="454"/>
      <c r="N1324" s="453"/>
      <c r="O1324" s="453"/>
    </row>
    <row r="1325" spans="1:15" ht="15" customHeight="1">
      <c r="A1325" s="299" t="s">
        <v>52</v>
      </c>
      <c r="B1325" s="299"/>
      <c r="C1325" s="120">
        <f aca="true" t="shared" si="339" ref="C1325:J1325">SUM(C1326:C1330)</f>
        <v>951</v>
      </c>
      <c r="D1325" s="120">
        <f t="shared" si="339"/>
        <v>951</v>
      </c>
      <c r="E1325" s="120">
        <f t="shared" si="339"/>
        <v>0</v>
      </c>
      <c r="F1325" s="120">
        <f t="shared" si="339"/>
        <v>0</v>
      </c>
      <c r="G1325" s="120">
        <f t="shared" si="339"/>
        <v>0</v>
      </c>
      <c r="H1325" s="28">
        <f t="shared" si="322"/>
        <v>0</v>
      </c>
      <c r="I1325" s="120">
        <f t="shared" si="339"/>
        <v>0</v>
      </c>
      <c r="J1325" s="120">
        <f t="shared" si="339"/>
        <v>0</v>
      </c>
      <c r="K1325" s="120">
        <v>0</v>
      </c>
      <c r="L1325" s="454"/>
      <c r="M1325" s="454"/>
      <c r="N1325" s="453"/>
      <c r="O1325" s="453"/>
    </row>
    <row r="1326" spans="1:15" ht="15" customHeight="1">
      <c r="A1326" s="299" t="s">
        <v>45</v>
      </c>
      <c r="B1326" s="299"/>
      <c r="C1326" s="111">
        <f>SUM(E1326:G1326)</f>
        <v>0</v>
      </c>
      <c r="D1326" s="120">
        <v>0</v>
      </c>
      <c r="E1326" s="120">
        <v>0</v>
      </c>
      <c r="F1326" s="120">
        <v>0</v>
      </c>
      <c r="G1326" s="120">
        <v>0</v>
      </c>
      <c r="H1326" s="28">
        <f t="shared" si="322"/>
        <v>0</v>
      </c>
      <c r="I1326" s="120">
        <v>0</v>
      </c>
      <c r="J1326" s="120">
        <v>0</v>
      </c>
      <c r="K1326" s="120">
        <v>0</v>
      </c>
      <c r="L1326" s="454"/>
      <c r="M1326" s="454"/>
      <c r="N1326" s="453"/>
      <c r="O1326" s="453"/>
    </row>
    <row r="1327" spans="1:15" ht="15" customHeight="1">
      <c r="A1327" s="299" t="s">
        <v>46</v>
      </c>
      <c r="B1327" s="299"/>
      <c r="C1327" s="112">
        <f>SUM(D1327:K1327)</f>
        <v>951</v>
      </c>
      <c r="D1327" s="120">
        <v>951</v>
      </c>
      <c r="E1327" s="120">
        <v>0</v>
      </c>
      <c r="F1327" s="120">
        <v>0</v>
      </c>
      <c r="G1327" s="120">
        <v>0</v>
      </c>
      <c r="H1327" s="28">
        <f t="shared" si="322"/>
        <v>0</v>
      </c>
      <c r="I1327" s="120">
        <v>0</v>
      </c>
      <c r="J1327" s="120">
        <v>0</v>
      </c>
      <c r="K1327" s="120">
        <v>0</v>
      </c>
      <c r="L1327" s="454"/>
      <c r="M1327" s="454"/>
      <c r="N1327" s="453"/>
      <c r="O1327" s="453"/>
    </row>
    <row r="1328" spans="1:15" ht="15" customHeight="1">
      <c r="A1328" s="299" t="s">
        <v>47</v>
      </c>
      <c r="B1328" s="299"/>
      <c r="C1328" s="111">
        <f>SUM(E1328:G1328)</f>
        <v>0</v>
      </c>
      <c r="D1328" s="120">
        <v>0</v>
      </c>
      <c r="E1328" s="120">
        <v>0</v>
      </c>
      <c r="F1328" s="120">
        <v>0</v>
      </c>
      <c r="G1328" s="120">
        <v>0</v>
      </c>
      <c r="H1328" s="28">
        <f t="shared" si="322"/>
        <v>0</v>
      </c>
      <c r="I1328" s="120">
        <v>0</v>
      </c>
      <c r="J1328" s="120">
        <v>0</v>
      </c>
      <c r="K1328" s="120">
        <v>0</v>
      </c>
      <c r="L1328" s="454"/>
      <c r="M1328" s="454"/>
      <c r="N1328" s="453"/>
      <c r="O1328" s="453"/>
    </row>
    <row r="1329" spans="1:15" ht="15" customHeight="1">
      <c r="A1329" s="299" t="s">
        <v>48</v>
      </c>
      <c r="B1329" s="299"/>
      <c r="C1329" s="111">
        <f>SUM(E1329:G1329)</f>
        <v>0</v>
      </c>
      <c r="D1329" s="120">
        <v>0</v>
      </c>
      <c r="E1329" s="120">
        <v>0</v>
      </c>
      <c r="F1329" s="120">
        <v>0</v>
      </c>
      <c r="G1329" s="120">
        <v>0</v>
      </c>
      <c r="H1329" s="28">
        <f t="shared" si="322"/>
        <v>0</v>
      </c>
      <c r="I1329" s="120">
        <v>0</v>
      </c>
      <c r="J1329" s="120">
        <v>0</v>
      </c>
      <c r="K1329" s="120">
        <v>0</v>
      </c>
      <c r="L1329" s="454"/>
      <c r="M1329" s="454"/>
      <c r="N1329" s="453"/>
      <c r="O1329" s="453"/>
    </row>
    <row r="1330" spans="1:15" ht="15" customHeight="1">
      <c r="A1330" s="299" t="s">
        <v>49</v>
      </c>
      <c r="B1330" s="299"/>
      <c r="C1330" s="111">
        <f>SUM(E1330:G1330)</f>
        <v>0</v>
      </c>
      <c r="D1330" s="120">
        <v>0</v>
      </c>
      <c r="E1330" s="120">
        <v>0</v>
      </c>
      <c r="F1330" s="120">
        <v>0</v>
      </c>
      <c r="G1330" s="120">
        <v>0</v>
      </c>
      <c r="H1330" s="28">
        <f aca="true" t="shared" si="340" ref="H1330:H1393">I1330+J1330+K1330</f>
        <v>0</v>
      </c>
      <c r="I1330" s="120">
        <v>0</v>
      </c>
      <c r="J1330" s="120">
        <v>0</v>
      </c>
      <c r="K1330" s="120">
        <v>0</v>
      </c>
      <c r="L1330" s="454"/>
      <c r="M1330" s="454"/>
      <c r="N1330" s="453"/>
      <c r="O1330" s="453"/>
    </row>
    <row r="1331" spans="1:15" ht="47.25" customHeight="1">
      <c r="A1331" s="340" t="s">
        <v>361</v>
      </c>
      <c r="B1331" s="341"/>
      <c r="C1331" s="189"/>
      <c r="D1331" s="189"/>
      <c r="E1331" s="189"/>
      <c r="F1331" s="189"/>
      <c r="G1331" s="189"/>
      <c r="H1331" s="28"/>
      <c r="I1331" s="189"/>
      <c r="J1331" s="189"/>
      <c r="K1331" s="189"/>
      <c r="L1331" s="454" t="s">
        <v>224</v>
      </c>
      <c r="M1331" s="454"/>
      <c r="N1331" s="467"/>
      <c r="O1331" s="467"/>
    </row>
    <row r="1332" spans="1:15" ht="15" customHeight="1">
      <c r="A1332" s="299" t="s">
        <v>52</v>
      </c>
      <c r="B1332" s="299"/>
      <c r="C1332" s="120">
        <f>SUM(C1333:C1337)</f>
        <v>668.75</v>
      </c>
      <c r="D1332" s="120">
        <f>SUM(D1333:D1337)</f>
        <v>500</v>
      </c>
      <c r="E1332" s="120">
        <f>SUM(E1333:E1337)</f>
        <v>168.75</v>
      </c>
      <c r="F1332" s="120">
        <f>SUM(F1333:G1337)</f>
        <v>0</v>
      </c>
      <c r="G1332" s="120">
        <f>SUM(G1333:I1337)</f>
        <v>0</v>
      </c>
      <c r="H1332" s="28">
        <f t="shared" si="340"/>
        <v>0</v>
      </c>
      <c r="I1332" s="120">
        <f>SUM(I1333:J1337)</f>
        <v>0</v>
      </c>
      <c r="J1332" s="120">
        <f>SUM(J1333:K1337)</f>
        <v>0</v>
      </c>
      <c r="K1332" s="120">
        <v>0</v>
      </c>
      <c r="L1332" s="454"/>
      <c r="M1332" s="454"/>
      <c r="N1332" s="467"/>
      <c r="O1332" s="467"/>
    </row>
    <row r="1333" spans="1:15" ht="15" customHeight="1">
      <c r="A1333" s="299" t="s">
        <v>45</v>
      </c>
      <c r="B1333" s="299"/>
      <c r="C1333" s="111">
        <f>SUM(E1333:G1333)</f>
        <v>0</v>
      </c>
      <c r="D1333" s="120">
        <f>D1340+D1347</f>
        <v>0</v>
      </c>
      <c r="E1333" s="120">
        <f>E1340+E1347+E1354</f>
        <v>0</v>
      </c>
      <c r="F1333" s="120">
        <f>F1340+F1347+F1354</f>
        <v>0</v>
      </c>
      <c r="G1333" s="120">
        <f>G1340+G1347+G1354</f>
        <v>0</v>
      </c>
      <c r="H1333" s="28">
        <f t="shared" si="340"/>
        <v>0</v>
      </c>
      <c r="I1333" s="120">
        <f>I1340+I1347+I1354</f>
        <v>0</v>
      </c>
      <c r="J1333" s="120">
        <f>J1340+J1347+J1354</f>
        <v>0</v>
      </c>
      <c r="K1333" s="120">
        <v>0</v>
      </c>
      <c r="L1333" s="454"/>
      <c r="M1333" s="454"/>
      <c r="N1333" s="467"/>
      <c r="O1333" s="467"/>
    </row>
    <row r="1334" spans="1:15" ht="16.5" customHeight="1">
      <c r="A1334" s="299" t="s">
        <v>46</v>
      </c>
      <c r="B1334" s="299"/>
      <c r="C1334" s="112">
        <f>SUM(D1334:K1334)</f>
        <v>668.75</v>
      </c>
      <c r="D1334" s="120">
        <f>D1341+D1348</f>
        <v>500</v>
      </c>
      <c r="E1334" s="120">
        <f>E1341+E1348+E1355</f>
        <v>168.75</v>
      </c>
      <c r="F1334" s="120">
        <v>0</v>
      </c>
      <c r="G1334" s="120">
        <v>0</v>
      </c>
      <c r="H1334" s="28">
        <f t="shared" si="340"/>
        <v>0</v>
      </c>
      <c r="I1334" s="120">
        <v>0</v>
      </c>
      <c r="J1334" s="120">
        <v>0</v>
      </c>
      <c r="K1334" s="120">
        <v>0</v>
      </c>
      <c r="L1334" s="454"/>
      <c r="M1334" s="454"/>
      <c r="N1334" s="467"/>
      <c r="O1334" s="467"/>
    </row>
    <row r="1335" spans="1:15" ht="15" customHeight="1">
      <c r="A1335" s="299" t="s">
        <v>47</v>
      </c>
      <c r="B1335" s="299"/>
      <c r="C1335" s="111">
        <f>SUM(E1335:G1335)</f>
        <v>0</v>
      </c>
      <c r="D1335" s="120">
        <f>D1342+D1349</f>
        <v>0</v>
      </c>
      <c r="E1335" s="120">
        <f>E1342+E1349+E1356</f>
        <v>0</v>
      </c>
      <c r="F1335" s="120">
        <f aca="true" t="shared" si="341" ref="F1335:G1337">F1342+F1349+F1356</f>
        <v>0</v>
      </c>
      <c r="G1335" s="120">
        <f t="shared" si="341"/>
        <v>0</v>
      </c>
      <c r="H1335" s="28">
        <f t="shared" si="340"/>
        <v>0</v>
      </c>
      <c r="I1335" s="120">
        <f aca="true" t="shared" si="342" ref="I1335:J1337">I1342+I1349+I1356</f>
        <v>0</v>
      </c>
      <c r="J1335" s="120">
        <f t="shared" si="342"/>
        <v>0</v>
      </c>
      <c r="K1335" s="120">
        <v>0</v>
      </c>
      <c r="L1335" s="454"/>
      <c r="M1335" s="454"/>
      <c r="N1335" s="467"/>
      <c r="O1335" s="467"/>
    </row>
    <row r="1336" spans="1:15" ht="15" customHeight="1">
      <c r="A1336" s="299" t="s">
        <v>48</v>
      </c>
      <c r="B1336" s="299"/>
      <c r="C1336" s="111">
        <f>SUM(E1336:G1336)</f>
        <v>0</v>
      </c>
      <c r="D1336" s="120">
        <f>D1343+D1350</f>
        <v>0</v>
      </c>
      <c r="E1336" s="120">
        <f>E1343+E1350+E1357</f>
        <v>0</v>
      </c>
      <c r="F1336" s="120">
        <f t="shared" si="341"/>
        <v>0</v>
      </c>
      <c r="G1336" s="120">
        <f t="shared" si="341"/>
        <v>0</v>
      </c>
      <c r="H1336" s="28">
        <f t="shared" si="340"/>
        <v>0</v>
      </c>
      <c r="I1336" s="120">
        <f t="shared" si="342"/>
        <v>0</v>
      </c>
      <c r="J1336" s="120">
        <f t="shared" si="342"/>
        <v>0</v>
      </c>
      <c r="K1336" s="120">
        <v>0</v>
      </c>
      <c r="L1336" s="454"/>
      <c r="M1336" s="454"/>
      <c r="N1336" s="467"/>
      <c r="O1336" s="467"/>
    </row>
    <row r="1337" spans="1:15" ht="15" customHeight="1">
      <c r="A1337" s="299" t="s">
        <v>49</v>
      </c>
      <c r="B1337" s="299"/>
      <c r="C1337" s="111">
        <f>SUM(E1337:G1337)</f>
        <v>0</v>
      </c>
      <c r="D1337" s="120">
        <f>D1344+D1351</f>
        <v>0</v>
      </c>
      <c r="E1337" s="120">
        <f>E1344+E1351+E1358</f>
        <v>0</v>
      </c>
      <c r="F1337" s="120">
        <f t="shared" si="341"/>
        <v>0</v>
      </c>
      <c r="G1337" s="120">
        <f t="shared" si="341"/>
        <v>0</v>
      </c>
      <c r="H1337" s="28">
        <f t="shared" si="340"/>
        <v>0</v>
      </c>
      <c r="I1337" s="120">
        <f t="shared" si="342"/>
        <v>0</v>
      </c>
      <c r="J1337" s="120">
        <f t="shared" si="342"/>
        <v>0</v>
      </c>
      <c r="K1337" s="120">
        <v>0</v>
      </c>
      <c r="L1337" s="454"/>
      <c r="M1337" s="454"/>
      <c r="N1337" s="467"/>
      <c r="O1337" s="467"/>
    </row>
    <row r="1338" spans="1:15" ht="44.25" customHeight="1">
      <c r="A1338" s="340" t="s">
        <v>362</v>
      </c>
      <c r="B1338" s="341"/>
      <c r="C1338" s="189"/>
      <c r="D1338" s="189"/>
      <c r="E1338" s="189"/>
      <c r="F1338" s="189"/>
      <c r="G1338" s="189"/>
      <c r="H1338" s="28"/>
      <c r="I1338" s="189"/>
      <c r="J1338" s="189"/>
      <c r="K1338" s="189"/>
      <c r="L1338" s="454" t="s">
        <v>224</v>
      </c>
      <c r="M1338" s="454"/>
      <c r="N1338" s="453"/>
      <c r="O1338" s="453"/>
    </row>
    <row r="1339" spans="1:15" ht="15" customHeight="1">
      <c r="A1339" s="299" t="s">
        <v>52</v>
      </c>
      <c r="B1339" s="299"/>
      <c r="C1339" s="120">
        <f aca="true" t="shared" si="343" ref="C1339:J1339">SUM(C1340:C1344)</f>
        <v>668.75</v>
      </c>
      <c r="D1339" s="120">
        <f t="shared" si="343"/>
        <v>500</v>
      </c>
      <c r="E1339" s="120">
        <f t="shared" si="343"/>
        <v>168.75</v>
      </c>
      <c r="F1339" s="120">
        <f t="shared" si="343"/>
        <v>0</v>
      </c>
      <c r="G1339" s="120">
        <f t="shared" si="343"/>
        <v>0</v>
      </c>
      <c r="H1339" s="28">
        <f t="shared" si="340"/>
        <v>0</v>
      </c>
      <c r="I1339" s="120">
        <f t="shared" si="343"/>
        <v>0</v>
      </c>
      <c r="J1339" s="120">
        <f t="shared" si="343"/>
        <v>0</v>
      </c>
      <c r="K1339" s="120">
        <v>0</v>
      </c>
      <c r="L1339" s="454"/>
      <c r="M1339" s="454"/>
      <c r="N1339" s="453"/>
      <c r="O1339" s="453"/>
    </row>
    <row r="1340" spans="1:15" ht="15" customHeight="1">
      <c r="A1340" s="299" t="s">
        <v>45</v>
      </c>
      <c r="B1340" s="299"/>
      <c r="C1340" s="111">
        <f>SUM(E1340:G1340)</f>
        <v>0</v>
      </c>
      <c r="D1340" s="120">
        <v>0</v>
      </c>
      <c r="E1340" s="120">
        <v>0</v>
      </c>
      <c r="F1340" s="120">
        <v>0</v>
      </c>
      <c r="G1340" s="120">
        <v>0</v>
      </c>
      <c r="H1340" s="28">
        <f t="shared" si="340"/>
        <v>0</v>
      </c>
      <c r="I1340" s="120">
        <v>0</v>
      </c>
      <c r="J1340" s="120">
        <v>0</v>
      </c>
      <c r="K1340" s="120">
        <v>0</v>
      </c>
      <c r="L1340" s="454"/>
      <c r="M1340" s="454"/>
      <c r="N1340" s="453"/>
      <c r="O1340" s="453"/>
    </row>
    <row r="1341" spans="1:15" ht="15.75" customHeight="1">
      <c r="A1341" s="299" t="s">
        <v>46</v>
      </c>
      <c r="B1341" s="299"/>
      <c r="C1341" s="112">
        <f>SUM(D1341:K1341)</f>
        <v>668.75</v>
      </c>
      <c r="D1341" s="120">
        <v>500</v>
      </c>
      <c r="E1341" s="124">
        <v>168.75</v>
      </c>
      <c r="F1341" s="120">
        <v>0</v>
      </c>
      <c r="G1341" s="120">
        <v>0</v>
      </c>
      <c r="H1341" s="28">
        <f t="shared" si="340"/>
        <v>0</v>
      </c>
      <c r="I1341" s="120">
        <v>0</v>
      </c>
      <c r="J1341" s="120">
        <v>0</v>
      </c>
      <c r="K1341" s="120">
        <v>0</v>
      </c>
      <c r="L1341" s="454"/>
      <c r="M1341" s="454"/>
      <c r="N1341" s="453"/>
      <c r="O1341" s="453"/>
    </row>
    <row r="1342" spans="1:15" ht="15" customHeight="1">
      <c r="A1342" s="299" t="s">
        <v>47</v>
      </c>
      <c r="B1342" s="299"/>
      <c r="C1342" s="111">
        <f>SUM(E1342:G1342)</f>
        <v>0</v>
      </c>
      <c r="D1342" s="120">
        <v>0</v>
      </c>
      <c r="E1342" s="120">
        <v>0</v>
      </c>
      <c r="F1342" s="120">
        <v>0</v>
      </c>
      <c r="G1342" s="120">
        <v>0</v>
      </c>
      <c r="H1342" s="28">
        <f t="shared" si="340"/>
        <v>0</v>
      </c>
      <c r="I1342" s="120">
        <v>0</v>
      </c>
      <c r="J1342" s="120">
        <v>0</v>
      </c>
      <c r="K1342" s="120">
        <v>0</v>
      </c>
      <c r="L1342" s="454"/>
      <c r="M1342" s="454"/>
      <c r="N1342" s="453"/>
      <c r="O1342" s="453"/>
    </row>
    <row r="1343" spans="1:15" ht="15" customHeight="1">
      <c r="A1343" s="299" t="s">
        <v>48</v>
      </c>
      <c r="B1343" s="299"/>
      <c r="C1343" s="111">
        <f>SUM(E1343:G1343)</f>
        <v>0</v>
      </c>
      <c r="D1343" s="120">
        <v>0</v>
      </c>
      <c r="E1343" s="120">
        <v>0</v>
      </c>
      <c r="F1343" s="120">
        <v>0</v>
      </c>
      <c r="G1343" s="120">
        <v>0</v>
      </c>
      <c r="H1343" s="28">
        <f t="shared" si="340"/>
        <v>0</v>
      </c>
      <c r="I1343" s="120">
        <v>0</v>
      </c>
      <c r="J1343" s="120">
        <v>0</v>
      </c>
      <c r="K1343" s="120">
        <v>0</v>
      </c>
      <c r="L1343" s="454"/>
      <c r="M1343" s="454"/>
      <c r="N1343" s="453"/>
      <c r="O1343" s="453"/>
    </row>
    <row r="1344" spans="1:15" ht="15" customHeight="1">
      <c r="A1344" s="299" t="s">
        <v>49</v>
      </c>
      <c r="B1344" s="299"/>
      <c r="C1344" s="111">
        <f>SUM(E1344:G1344)</f>
        <v>0</v>
      </c>
      <c r="D1344" s="120">
        <v>0</v>
      </c>
      <c r="E1344" s="120">
        <v>0</v>
      </c>
      <c r="F1344" s="120">
        <v>0</v>
      </c>
      <c r="G1344" s="120">
        <v>0</v>
      </c>
      <c r="H1344" s="28">
        <f t="shared" si="340"/>
        <v>0</v>
      </c>
      <c r="I1344" s="120">
        <v>0</v>
      </c>
      <c r="J1344" s="120">
        <v>0</v>
      </c>
      <c r="K1344" s="120">
        <v>0</v>
      </c>
      <c r="L1344" s="454"/>
      <c r="M1344" s="454"/>
      <c r="N1344" s="453"/>
      <c r="O1344" s="453"/>
    </row>
    <row r="1345" spans="1:15" ht="48" customHeight="1">
      <c r="A1345" s="340" t="s">
        <v>363</v>
      </c>
      <c r="B1345" s="341"/>
      <c r="C1345" s="189"/>
      <c r="D1345" s="189"/>
      <c r="E1345" s="189"/>
      <c r="F1345" s="189"/>
      <c r="G1345" s="189"/>
      <c r="H1345" s="28"/>
      <c r="I1345" s="189"/>
      <c r="J1345" s="189"/>
      <c r="K1345" s="189"/>
      <c r="L1345" s="454" t="s">
        <v>224</v>
      </c>
      <c r="M1345" s="454"/>
      <c r="N1345" s="453"/>
      <c r="O1345" s="453"/>
    </row>
    <row r="1346" spans="1:15" ht="15" customHeight="1">
      <c r="A1346" s="299" t="s">
        <v>52</v>
      </c>
      <c r="B1346" s="299"/>
      <c r="C1346" s="111">
        <f aca="true" t="shared" si="344" ref="C1346:C1351">SUM(E1346:G1346)</f>
        <v>0</v>
      </c>
      <c r="D1346" s="120">
        <f aca="true" t="shared" si="345" ref="D1346:K1346">SUM(D1347:D1351)</f>
        <v>0</v>
      </c>
      <c r="E1346" s="120">
        <f t="shared" si="345"/>
        <v>0</v>
      </c>
      <c r="F1346" s="120">
        <f t="shared" si="345"/>
        <v>0</v>
      </c>
      <c r="G1346" s="120">
        <f>SUM(G1347:G1351)</f>
        <v>0</v>
      </c>
      <c r="H1346" s="28">
        <f t="shared" si="340"/>
        <v>0</v>
      </c>
      <c r="I1346" s="120">
        <f>SUM(I1347:I1351)</f>
        <v>0</v>
      </c>
      <c r="J1346" s="120">
        <f>SUM(J1347:J1351)</f>
        <v>0</v>
      </c>
      <c r="K1346" s="120">
        <f t="shared" si="345"/>
        <v>0</v>
      </c>
      <c r="L1346" s="454"/>
      <c r="M1346" s="454"/>
      <c r="N1346" s="453"/>
      <c r="O1346" s="453"/>
    </row>
    <row r="1347" spans="1:15" ht="17.25" customHeight="1">
      <c r="A1347" s="299" t="s">
        <v>45</v>
      </c>
      <c r="B1347" s="299"/>
      <c r="C1347" s="111">
        <f t="shared" si="344"/>
        <v>0</v>
      </c>
      <c r="D1347" s="120">
        <v>0</v>
      </c>
      <c r="E1347" s="120">
        <v>0</v>
      </c>
      <c r="F1347" s="120">
        <v>0</v>
      </c>
      <c r="G1347" s="120">
        <v>0</v>
      </c>
      <c r="H1347" s="28">
        <f t="shared" si="340"/>
        <v>0</v>
      </c>
      <c r="I1347" s="120">
        <v>0</v>
      </c>
      <c r="J1347" s="120">
        <v>0</v>
      </c>
      <c r="K1347" s="120">
        <v>0</v>
      </c>
      <c r="L1347" s="454"/>
      <c r="M1347" s="454"/>
      <c r="N1347" s="453"/>
      <c r="O1347" s="453"/>
    </row>
    <row r="1348" spans="1:15" ht="15" customHeight="1">
      <c r="A1348" s="299" t="s">
        <v>46</v>
      </c>
      <c r="B1348" s="299"/>
      <c r="C1348" s="111">
        <f t="shared" si="344"/>
        <v>0</v>
      </c>
      <c r="D1348" s="120">
        <v>0</v>
      </c>
      <c r="E1348" s="120">
        <v>0</v>
      </c>
      <c r="F1348" s="120">
        <v>0</v>
      </c>
      <c r="G1348" s="120">
        <v>0</v>
      </c>
      <c r="H1348" s="28">
        <f t="shared" si="340"/>
        <v>0</v>
      </c>
      <c r="I1348" s="120">
        <v>0</v>
      </c>
      <c r="J1348" s="120">
        <v>0</v>
      </c>
      <c r="K1348" s="120">
        <v>0</v>
      </c>
      <c r="L1348" s="454"/>
      <c r="M1348" s="454"/>
      <c r="N1348" s="453"/>
      <c r="O1348" s="453"/>
    </row>
    <row r="1349" spans="1:15" ht="15" customHeight="1">
      <c r="A1349" s="299" t="s">
        <v>47</v>
      </c>
      <c r="B1349" s="299"/>
      <c r="C1349" s="111">
        <f t="shared" si="344"/>
        <v>0</v>
      </c>
      <c r="D1349" s="120">
        <v>0</v>
      </c>
      <c r="E1349" s="120">
        <v>0</v>
      </c>
      <c r="F1349" s="120">
        <v>0</v>
      </c>
      <c r="G1349" s="120">
        <v>0</v>
      </c>
      <c r="H1349" s="28">
        <f t="shared" si="340"/>
        <v>0</v>
      </c>
      <c r="I1349" s="120">
        <v>0</v>
      </c>
      <c r="J1349" s="120">
        <v>0</v>
      </c>
      <c r="K1349" s="120">
        <v>0</v>
      </c>
      <c r="L1349" s="454"/>
      <c r="M1349" s="454"/>
      <c r="N1349" s="453"/>
      <c r="O1349" s="453"/>
    </row>
    <row r="1350" spans="1:15" ht="15" customHeight="1">
      <c r="A1350" s="299" t="s">
        <v>48</v>
      </c>
      <c r="B1350" s="299"/>
      <c r="C1350" s="111">
        <f t="shared" si="344"/>
        <v>0</v>
      </c>
      <c r="D1350" s="120">
        <v>0</v>
      </c>
      <c r="E1350" s="120">
        <v>0</v>
      </c>
      <c r="F1350" s="120">
        <v>0</v>
      </c>
      <c r="G1350" s="120">
        <v>0</v>
      </c>
      <c r="H1350" s="28">
        <f t="shared" si="340"/>
        <v>0</v>
      </c>
      <c r="I1350" s="120">
        <v>0</v>
      </c>
      <c r="J1350" s="120">
        <v>0</v>
      </c>
      <c r="K1350" s="120">
        <v>0</v>
      </c>
      <c r="L1350" s="454"/>
      <c r="M1350" s="454"/>
      <c r="N1350" s="453"/>
      <c r="O1350" s="453"/>
    </row>
    <row r="1351" spans="1:15" ht="15" customHeight="1">
      <c r="A1351" s="299" t="s">
        <v>49</v>
      </c>
      <c r="B1351" s="299"/>
      <c r="C1351" s="111">
        <f t="shared" si="344"/>
        <v>0</v>
      </c>
      <c r="D1351" s="120">
        <v>0</v>
      </c>
      <c r="E1351" s="120">
        <v>0</v>
      </c>
      <c r="F1351" s="120">
        <v>0</v>
      </c>
      <c r="G1351" s="120">
        <v>0</v>
      </c>
      <c r="H1351" s="28">
        <f t="shared" si="340"/>
        <v>0</v>
      </c>
      <c r="I1351" s="120">
        <v>0</v>
      </c>
      <c r="J1351" s="120">
        <v>0</v>
      </c>
      <c r="K1351" s="120">
        <v>0</v>
      </c>
      <c r="L1351" s="454"/>
      <c r="M1351" s="454"/>
      <c r="N1351" s="453"/>
      <c r="O1351" s="453"/>
    </row>
    <row r="1352" spans="1:15" s="16" customFormat="1" ht="37.5" customHeight="1">
      <c r="A1352" s="340" t="s">
        <v>364</v>
      </c>
      <c r="B1352" s="341"/>
      <c r="C1352" s="189"/>
      <c r="D1352" s="189"/>
      <c r="E1352" s="189"/>
      <c r="F1352" s="189"/>
      <c r="G1352" s="189"/>
      <c r="H1352" s="28"/>
      <c r="I1352" s="189"/>
      <c r="J1352" s="189"/>
      <c r="K1352" s="189"/>
      <c r="L1352" s="454" t="s">
        <v>224</v>
      </c>
      <c r="M1352" s="454"/>
      <c r="N1352" s="453"/>
      <c r="O1352" s="453"/>
    </row>
    <row r="1353" spans="1:15" s="16" customFormat="1" ht="15" customHeight="1">
      <c r="A1353" s="299" t="s">
        <v>52</v>
      </c>
      <c r="B1353" s="299"/>
      <c r="C1353" s="111">
        <f aca="true" t="shared" si="346" ref="C1353:C1358">SUM(E1353:G1353)</f>
        <v>344.87706</v>
      </c>
      <c r="D1353" s="120">
        <f>SUM(D1354:D1358)</f>
        <v>0</v>
      </c>
      <c r="E1353" s="120">
        <f>SUM(E1354:E1358)</f>
        <v>0</v>
      </c>
      <c r="F1353" s="120">
        <f>SUM(F1354:F1358)</f>
        <v>344.87706</v>
      </c>
      <c r="G1353" s="126">
        <v>0</v>
      </c>
      <c r="H1353" s="28">
        <f t="shared" si="340"/>
        <v>0</v>
      </c>
      <c r="I1353" s="120">
        <v>0</v>
      </c>
      <c r="J1353" s="120">
        <v>0</v>
      </c>
      <c r="K1353" s="120">
        <v>0</v>
      </c>
      <c r="L1353" s="454"/>
      <c r="M1353" s="454"/>
      <c r="N1353" s="453"/>
      <c r="O1353" s="453"/>
    </row>
    <row r="1354" spans="1:15" s="16" customFormat="1" ht="15" customHeight="1">
      <c r="A1354" s="299" t="s">
        <v>45</v>
      </c>
      <c r="B1354" s="299"/>
      <c r="C1354" s="111">
        <f t="shared" si="346"/>
        <v>0</v>
      </c>
      <c r="D1354" s="120">
        <v>0</v>
      </c>
      <c r="E1354" s="120">
        <v>0</v>
      </c>
      <c r="F1354" s="120">
        <v>0</v>
      </c>
      <c r="G1354" s="126">
        <v>0</v>
      </c>
      <c r="H1354" s="28">
        <f t="shared" si="340"/>
        <v>0</v>
      </c>
      <c r="I1354" s="120">
        <v>0</v>
      </c>
      <c r="J1354" s="120">
        <v>0</v>
      </c>
      <c r="K1354" s="120">
        <v>0</v>
      </c>
      <c r="L1354" s="454"/>
      <c r="M1354" s="454"/>
      <c r="N1354" s="453"/>
      <c r="O1354" s="453"/>
    </row>
    <row r="1355" spans="1:15" s="16" customFormat="1" ht="15" customHeight="1">
      <c r="A1355" s="299" t="s">
        <v>46</v>
      </c>
      <c r="B1355" s="299"/>
      <c r="C1355" s="112">
        <f>SUM(D1355:K1355)</f>
        <v>344.87706</v>
      </c>
      <c r="D1355" s="120">
        <v>0</v>
      </c>
      <c r="E1355" s="120">
        <v>0</v>
      </c>
      <c r="F1355" s="120">
        <v>344.87706</v>
      </c>
      <c r="G1355" s="126">
        <v>0</v>
      </c>
      <c r="H1355" s="28">
        <f t="shared" si="340"/>
        <v>0</v>
      </c>
      <c r="I1355" s="120">
        <v>0</v>
      </c>
      <c r="J1355" s="120">
        <v>0</v>
      </c>
      <c r="K1355" s="120">
        <v>0</v>
      </c>
      <c r="L1355" s="454"/>
      <c r="M1355" s="454"/>
      <c r="N1355" s="453"/>
      <c r="O1355" s="453"/>
    </row>
    <row r="1356" spans="1:15" s="16" customFormat="1" ht="15" customHeight="1">
      <c r="A1356" s="299" t="s">
        <v>47</v>
      </c>
      <c r="B1356" s="299"/>
      <c r="C1356" s="111">
        <f t="shared" si="346"/>
        <v>0</v>
      </c>
      <c r="D1356" s="120">
        <v>0</v>
      </c>
      <c r="E1356" s="120">
        <v>0</v>
      </c>
      <c r="F1356" s="120">
        <v>0</v>
      </c>
      <c r="G1356" s="126">
        <v>0</v>
      </c>
      <c r="H1356" s="28">
        <f t="shared" si="340"/>
        <v>0</v>
      </c>
      <c r="I1356" s="120">
        <v>0</v>
      </c>
      <c r="J1356" s="120">
        <v>0</v>
      </c>
      <c r="K1356" s="120">
        <v>0</v>
      </c>
      <c r="L1356" s="454"/>
      <c r="M1356" s="454"/>
      <c r="N1356" s="453"/>
      <c r="O1356" s="453"/>
    </row>
    <row r="1357" spans="1:15" s="16" customFormat="1" ht="15" customHeight="1">
      <c r="A1357" s="299" t="s">
        <v>48</v>
      </c>
      <c r="B1357" s="299"/>
      <c r="C1357" s="111">
        <f t="shared" si="346"/>
        <v>0</v>
      </c>
      <c r="D1357" s="120">
        <v>0</v>
      </c>
      <c r="E1357" s="120">
        <v>0</v>
      </c>
      <c r="F1357" s="120">
        <v>0</v>
      </c>
      <c r="G1357" s="126">
        <v>0</v>
      </c>
      <c r="H1357" s="28">
        <f t="shared" si="340"/>
        <v>0</v>
      </c>
      <c r="I1357" s="120">
        <v>0</v>
      </c>
      <c r="J1357" s="120">
        <v>0</v>
      </c>
      <c r="K1357" s="120">
        <v>0</v>
      </c>
      <c r="L1357" s="454"/>
      <c r="M1357" s="454"/>
      <c r="N1357" s="453"/>
      <c r="O1357" s="453"/>
    </row>
    <row r="1358" spans="1:15" s="16" customFormat="1" ht="15" customHeight="1">
      <c r="A1358" s="299" t="s">
        <v>49</v>
      </c>
      <c r="B1358" s="299"/>
      <c r="C1358" s="111">
        <f t="shared" si="346"/>
        <v>0</v>
      </c>
      <c r="D1358" s="120">
        <v>0</v>
      </c>
      <c r="E1358" s="120">
        <v>0</v>
      </c>
      <c r="F1358" s="120">
        <v>0</v>
      </c>
      <c r="G1358" s="126">
        <v>0</v>
      </c>
      <c r="H1358" s="28">
        <f t="shared" si="340"/>
        <v>0</v>
      </c>
      <c r="I1358" s="120">
        <v>0</v>
      </c>
      <c r="J1358" s="120">
        <v>0</v>
      </c>
      <c r="K1358" s="120">
        <v>0</v>
      </c>
      <c r="L1358" s="454"/>
      <c r="M1358" s="454"/>
      <c r="N1358" s="453"/>
      <c r="O1358" s="453"/>
    </row>
    <row r="1359" spans="1:15" ht="15" customHeight="1">
      <c r="A1359" s="122"/>
      <c r="B1359" s="121" t="s">
        <v>101</v>
      </c>
      <c r="C1359" s="111">
        <f>SUM(E1359:G1359)</f>
        <v>0</v>
      </c>
      <c r="D1359" s="120"/>
      <c r="E1359" s="120">
        <v>0</v>
      </c>
      <c r="F1359" s="120">
        <v>0</v>
      </c>
      <c r="G1359" s="126">
        <v>0</v>
      </c>
      <c r="H1359" s="28">
        <f t="shared" si="340"/>
        <v>0</v>
      </c>
      <c r="I1359" s="120">
        <v>0</v>
      </c>
      <c r="J1359" s="120">
        <v>0</v>
      </c>
      <c r="K1359" s="120">
        <v>0</v>
      </c>
      <c r="L1359" s="454"/>
      <c r="M1359" s="454"/>
      <c r="N1359" s="453"/>
      <c r="O1359" s="453"/>
    </row>
    <row r="1360" spans="1:15" ht="48.75" customHeight="1">
      <c r="A1360" s="340" t="s">
        <v>365</v>
      </c>
      <c r="B1360" s="341"/>
      <c r="C1360" s="189"/>
      <c r="D1360" s="189"/>
      <c r="E1360" s="189"/>
      <c r="F1360" s="189"/>
      <c r="G1360" s="189"/>
      <c r="H1360" s="28"/>
      <c r="I1360" s="189"/>
      <c r="J1360" s="189"/>
      <c r="K1360" s="189"/>
      <c r="L1360" s="454" t="s">
        <v>97</v>
      </c>
      <c r="M1360" s="460"/>
      <c r="N1360" s="467"/>
      <c r="O1360" s="467"/>
    </row>
    <row r="1361" spans="1:15" ht="15" customHeight="1">
      <c r="A1361" s="299" t="s">
        <v>52</v>
      </c>
      <c r="B1361" s="299"/>
      <c r="C1361" s="111">
        <f aca="true" t="shared" si="347" ref="C1361:C1367">SUM(E1361:G1361)</f>
        <v>0</v>
      </c>
      <c r="D1361" s="120">
        <f aca="true" t="shared" si="348" ref="D1361:J1361">SUM(D1362:D1366)</f>
        <v>0</v>
      </c>
      <c r="E1361" s="120">
        <f t="shared" si="348"/>
        <v>0</v>
      </c>
      <c r="F1361" s="120">
        <f t="shared" si="348"/>
        <v>0</v>
      </c>
      <c r="G1361" s="120">
        <f t="shared" si="348"/>
        <v>0</v>
      </c>
      <c r="H1361" s="28">
        <f t="shared" si="340"/>
        <v>0</v>
      </c>
      <c r="I1361" s="120">
        <f t="shared" si="348"/>
        <v>0</v>
      </c>
      <c r="J1361" s="120">
        <f t="shared" si="348"/>
        <v>0</v>
      </c>
      <c r="K1361" s="120">
        <v>0</v>
      </c>
      <c r="L1361" s="454"/>
      <c r="M1361" s="460"/>
      <c r="N1361" s="467"/>
      <c r="O1361" s="467"/>
    </row>
    <row r="1362" spans="1:15" ht="15" customHeight="1">
      <c r="A1362" s="299" t="s">
        <v>45</v>
      </c>
      <c r="B1362" s="299"/>
      <c r="C1362" s="111">
        <f t="shared" si="347"/>
        <v>0</v>
      </c>
      <c r="D1362" s="120">
        <v>0</v>
      </c>
      <c r="E1362" s="120">
        <v>0</v>
      </c>
      <c r="F1362" s="120">
        <v>0</v>
      </c>
      <c r="G1362" s="120">
        <v>0</v>
      </c>
      <c r="H1362" s="28">
        <f t="shared" si="340"/>
        <v>0</v>
      </c>
      <c r="I1362" s="120">
        <v>0</v>
      </c>
      <c r="J1362" s="120">
        <v>0</v>
      </c>
      <c r="K1362" s="120">
        <v>0</v>
      </c>
      <c r="L1362" s="454"/>
      <c r="M1362" s="460"/>
      <c r="N1362" s="467"/>
      <c r="O1362" s="467"/>
    </row>
    <row r="1363" spans="1:15" ht="15" customHeight="1">
      <c r="A1363" s="299" t="s">
        <v>46</v>
      </c>
      <c r="B1363" s="299"/>
      <c r="C1363" s="111">
        <f t="shared" si="347"/>
        <v>0</v>
      </c>
      <c r="D1363" s="120">
        <v>0</v>
      </c>
      <c r="E1363" s="120">
        <v>0</v>
      </c>
      <c r="F1363" s="120">
        <v>0</v>
      </c>
      <c r="G1363" s="120">
        <v>0</v>
      </c>
      <c r="H1363" s="28">
        <f t="shared" si="340"/>
        <v>0</v>
      </c>
      <c r="I1363" s="120">
        <v>0</v>
      </c>
      <c r="J1363" s="120">
        <v>0</v>
      </c>
      <c r="K1363" s="120">
        <v>0</v>
      </c>
      <c r="L1363" s="454"/>
      <c r="M1363" s="460"/>
      <c r="N1363" s="467"/>
      <c r="O1363" s="467"/>
    </row>
    <row r="1364" spans="1:15" ht="15" customHeight="1">
      <c r="A1364" s="299" t="s">
        <v>47</v>
      </c>
      <c r="B1364" s="299"/>
      <c r="C1364" s="111">
        <f t="shared" si="347"/>
        <v>0</v>
      </c>
      <c r="D1364" s="120">
        <v>0</v>
      </c>
      <c r="E1364" s="120">
        <v>0</v>
      </c>
      <c r="F1364" s="120">
        <v>0</v>
      </c>
      <c r="G1364" s="120">
        <v>0</v>
      </c>
      <c r="H1364" s="28">
        <f t="shared" si="340"/>
        <v>0</v>
      </c>
      <c r="I1364" s="120">
        <v>0</v>
      </c>
      <c r="J1364" s="120">
        <v>0</v>
      </c>
      <c r="K1364" s="120">
        <v>0</v>
      </c>
      <c r="L1364" s="454"/>
      <c r="M1364" s="460"/>
      <c r="N1364" s="467"/>
      <c r="O1364" s="467"/>
    </row>
    <row r="1365" spans="1:15" ht="15" customHeight="1">
      <c r="A1365" s="299" t="s">
        <v>48</v>
      </c>
      <c r="B1365" s="299"/>
      <c r="C1365" s="111">
        <f t="shared" si="347"/>
        <v>0</v>
      </c>
      <c r="D1365" s="120">
        <v>0</v>
      </c>
      <c r="E1365" s="120">
        <v>0</v>
      </c>
      <c r="F1365" s="120">
        <v>0</v>
      </c>
      <c r="G1365" s="120">
        <v>0</v>
      </c>
      <c r="H1365" s="28">
        <f t="shared" si="340"/>
        <v>0</v>
      </c>
      <c r="I1365" s="120">
        <v>0</v>
      </c>
      <c r="J1365" s="120">
        <v>0</v>
      </c>
      <c r="K1365" s="120">
        <v>0</v>
      </c>
      <c r="L1365" s="454"/>
      <c r="M1365" s="460"/>
      <c r="N1365" s="467"/>
      <c r="O1365" s="467"/>
    </row>
    <row r="1366" spans="1:15" ht="15" customHeight="1">
      <c r="A1366" s="299" t="s">
        <v>49</v>
      </c>
      <c r="B1366" s="299"/>
      <c r="C1366" s="111">
        <f t="shared" si="347"/>
        <v>0</v>
      </c>
      <c r="D1366" s="120">
        <v>0</v>
      </c>
      <c r="E1366" s="120">
        <v>0</v>
      </c>
      <c r="F1366" s="120">
        <v>0</v>
      </c>
      <c r="G1366" s="120">
        <v>0</v>
      </c>
      <c r="H1366" s="28">
        <f t="shared" si="340"/>
        <v>0</v>
      </c>
      <c r="I1366" s="120">
        <v>0</v>
      </c>
      <c r="J1366" s="120">
        <v>0</v>
      </c>
      <c r="K1366" s="120">
        <v>0</v>
      </c>
      <c r="L1366" s="454"/>
      <c r="M1366" s="460"/>
      <c r="N1366" s="467"/>
      <c r="O1366" s="467"/>
    </row>
    <row r="1367" spans="1:15" ht="15" customHeight="1">
      <c r="A1367" s="122"/>
      <c r="B1367" s="121" t="s">
        <v>102</v>
      </c>
      <c r="C1367" s="111">
        <f t="shared" si="347"/>
        <v>0</v>
      </c>
      <c r="D1367" s="120"/>
      <c r="E1367" s="120">
        <v>0</v>
      </c>
      <c r="F1367" s="120">
        <v>0</v>
      </c>
      <c r="G1367" s="120">
        <v>0</v>
      </c>
      <c r="H1367" s="28">
        <f t="shared" si="340"/>
        <v>0</v>
      </c>
      <c r="I1367" s="120">
        <v>0</v>
      </c>
      <c r="J1367" s="120">
        <v>0</v>
      </c>
      <c r="K1367" s="120">
        <v>0</v>
      </c>
      <c r="L1367" s="454"/>
      <c r="M1367" s="460"/>
      <c r="N1367" s="467"/>
      <c r="O1367" s="467"/>
    </row>
    <row r="1368" spans="1:15" ht="45" customHeight="1">
      <c r="A1368" s="455" t="s">
        <v>366</v>
      </c>
      <c r="B1368" s="456"/>
      <c r="C1368" s="188"/>
      <c r="D1368" s="188"/>
      <c r="E1368" s="188"/>
      <c r="F1368" s="188"/>
      <c r="G1368" s="188"/>
      <c r="H1368" s="28"/>
      <c r="I1368" s="189"/>
      <c r="J1368" s="189"/>
      <c r="K1368" s="189"/>
      <c r="L1368" s="460"/>
      <c r="M1368" s="454"/>
      <c r="N1368" s="453" t="s">
        <v>374</v>
      </c>
      <c r="O1368" s="453" t="s">
        <v>359</v>
      </c>
    </row>
    <row r="1369" spans="1:15" ht="15" customHeight="1">
      <c r="A1369" s="299" t="s">
        <v>52</v>
      </c>
      <c r="B1369" s="299"/>
      <c r="C1369" s="120">
        <f aca="true" t="shared" si="349" ref="C1369:K1369">SUM(C1370:C1374)</f>
        <v>5465.028420000001</v>
      </c>
      <c r="D1369" s="120">
        <f t="shared" si="349"/>
        <v>497.8</v>
      </c>
      <c r="E1369" s="120">
        <f t="shared" si="349"/>
        <v>428</v>
      </c>
      <c r="F1369" s="120">
        <f t="shared" si="349"/>
        <v>405.09999999999997</v>
      </c>
      <c r="G1369" s="126">
        <f t="shared" si="349"/>
        <v>503.52842</v>
      </c>
      <c r="H1369" s="28">
        <f t="shared" si="340"/>
        <v>1815.3000000000002</v>
      </c>
      <c r="I1369" s="126">
        <f t="shared" si="349"/>
        <v>605.1</v>
      </c>
      <c r="J1369" s="126">
        <f t="shared" si="349"/>
        <v>605.1</v>
      </c>
      <c r="K1369" s="126">
        <f t="shared" si="349"/>
        <v>605.1</v>
      </c>
      <c r="L1369" s="460"/>
      <c r="M1369" s="454"/>
      <c r="N1369" s="453"/>
      <c r="O1369" s="453"/>
    </row>
    <row r="1370" spans="1:15" ht="15" customHeight="1">
      <c r="A1370" s="299" t="s">
        <v>45</v>
      </c>
      <c r="B1370" s="299"/>
      <c r="C1370" s="111">
        <f>SUM(E1370:G1370)</f>
        <v>0</v>
      </c>
      <c r="D1370" s="120">
        <f aca="true" t="shared" si="350" ref="D1370:K1374">D1377+D1384+D1391</f>
        <v>0</v>
      </c>
      <c r="E1370" s="120">
        <f t="shared" si="350"/>
        <v>0</v>
      </c>
      <c r="F1370" s="120">
        <f t="shared" si="350"/>
        <v>0</v>
      </c>
      <c r="G1370" s="126">
        <f t="shared" si="350"/>
        <v>0</v>
      </c>
      <c r="H1370" s="28">
        <f t="shared" si="340"/>
        <v>0</v>
      </c>
      <c r="I1370" s="120">
        <f aca="true" t="shared" si="351" ref="I1370:J1374">I1377+I1384+I1391</f>
        <v>0</v>
      </c>
      <c r="J1370" s="120">
        <f t="shared" si="351"/>
        <v>0</v>
      </c>
      <c r="K1370" s="120">
        <f t="shared" si="350"/>
        <v>0</v>
      </c>
      <c r="L1370" s="460"/>
      <c r="M1370" s="454"/>
      <c r="N1370" s="453"/>
      <c r="O1370" s="453"/>
    </row>
    <row r="1371" spans="1:15" ht="15" customHeight="1">
      <c r="A1371" s="299" t="s">
        <v>46</v>
      </c>
      <c r="B1371" s="299"/>
      <c r="C1371" s="112">
        <f>SUM(D1371:K1371)</f>
        <v>5465.028420000001</v>
      </c>
      <c r="D1371" s="120">
        <f t="shared" si="350"/>
        <v>497.8</v>
      </c>
      <c r="E1371" s="120">
        <f t="shared" si="350"/>
        <v>428</v>
      </c>
      <c r="F1371" s="120">
        <f t="shared" si="350"/>
        <v>405.09999999999997</v>
      </c>
      <c r="G1371" s="126">
        <f t="shared" si="350"/>
        <v>503.52842</v>
      </c>
      <c r="H1371" s="28">
        <f t="shared" si="340"/>
        <v>1815.3000000000002</v>
      </c>
      <c r="I1371" s="126">
        <f t="shared" si="350"/>
        <v>605.1</v>
      </c>
      <c r="J1371" s="126">
        <f t="shared" si="350"/>
        <v>605.1</v>
      </c>
      <c r="K1371" s="126">
        <f t="shared" si="350"/>
        <v>605.1</v>
      </c>
      <c r="L1371" s="460"/>
      <c r="M1371" s="454"/>
      <c r="N1371" s="453"/>
      <c r="O1371" s="453"/>
    </row>
    <row r="1372" spans="1:15" ht="15" customHeight="1">
      <c r="A1372" s="299" t="s">
        <v>47</v>
      </c>
      <c r="B1372" s="299"/>
      <c r="C1372" s="111">
        <f>SUM(E1372:G1372)</f>
        <v>0</v>
      </c>
      <c r="D1372" s="120">
        <f t="shared" si="350"/>
        <v>0</v>
      </c>
      <c r="E1372" s="120">
        <f t="shared" si="350"/>
        <v>0</v>
      </c>
      <c r="F1372" s="120">
        <f t="shared" si="350"/>
        <v>0</v>
      </c>
      <c r="G1372" s="126">
        <f t="shared" si="350"/>
        <v>0</v>
      </c>
      <c r="H1372" s="28">
        <f t="shared" si="340"/>
        <v>0</v>
      </c>
      <c r="I1372" s="120">
        <f t="shared" si="351"/>
        <v>0</v>
      </c>
      <c r="J1372" s="120">
        <f t="shared" si="351"/>
        <v>0</v>
      </c>
      <c r="K1372" s="120">
        <f t="shared" si="350"/>
        <v>0</v>
      </c>
      <c r="L1372" s="460"/>
      <c r="M1372" s="454"/>
      <c r="N1372" s="453"/>
      <c r="O1372" s="453"/>
    </row>
    <row r="1373" spans="1:15" ht="15" customHeight="1">
      <c r="A1373" s="299" t="s">
        <v>48</v>
      </c>
      <c r="B1373" s="299"/>
      <c r="C1373" s="111">
        <f>SUM(E1373:G1373)</f>
        <v>0</v>
      </c>
      <c r="D1373" s="120">
        <f t="shared" si="350"/>
        <v>0</v>
      </c>
      <c r="E1373" s="120">
        <f t="shared" si="350"/>
        <v>0</v>
      </c>
      <c r="F1373" s="120">
        <f t="shared" si="350"/>
        <v>0</v>
      </c>
      <c r="G1373" s="126">
        <f t="shared" si="350"/>
        <v>0</v>
      </c>
      <c r="H1373" s="28">
        <f t="shared" si="340"/>
        <v>0</v>
      </c>
      <c r="I1373" s="120">
        <f t="shared" si="351"/>
        <v>0</v>
      </c>
      <c r="J1373" s="120">
        <f t="shared" si="351"/>
        <v>0</v>
      </c>
      <c r="K1373" s="120">
        <f t="shared" si="350"/>
        <v>0</v>
      </c>
      <c r="L1373" s="460"/>
      <c r="M1373" s="454"/>
      <c r="N1373" s="453"/>
      <c r="O1373" s="453"/>
    </row>
    <row r="1374" spans="1:15" ht="18.75" customHeight="1">
      <c r="A1374" s="299" t="s">
        <v>49</v>
      </c>
      <c r="B1374" s="299"/>
      <c r="C1374" s="111">
        <f>SUM(E1374:G1374)</f>
        <v>0</v>
      </c>
      <c r="D1374" s="120">
        <f t="shared" si="350"/>
        <v>0</v>
      </c>
      <c r="E1374" s="120">
        <f t="shared" si="350"/>
        <v>0</v>
      </c>
      <c r="F1374" s="120">
        <f t="shared" si="350"/>
        <v>0</v>
      </c>
      <c r="G1374" s="126">
        <f t="shared" si="350"/>
        <v>0</v>
      </c>
      <c r="H1374" s="28">
        <f t="shared" si="340"/>
        <v>0</v>
      </c>
      <c r="I1374" s="120">
        <f t="shared" si="351"/>
        <v>0</v>
      </c>
      <c r="J1374" s="120">
        <f t="shared" si="351"/>
        <v>0</v>
      </c>
      <c r="K1374" s="120">
        <f t="shared" si="350"/>
        <v>0</v>
      </c>
      <c r="L1374" s="460"/>
      <c r="M1374" s="454"/>
      <c r="N1374" s="453"/>
      <c r="O1374" s="453"/>
    </row>
    <row r="1375" spans="1:15" ht="46.5" customHeight="1">
      <c r="A1375" s="461" t="s">
        <v>367</v>
      </c>
      <c r="B1375" s="468"/>
      <c r="C1375" s="195"/>
      <c r="D1375" s="195"/>
      <c r="E1375" s="195"/>
      <c r="F1375" s="195"/>
      <c r="G1375" s="195"/>
      <c r="H1375" s="28"/>
      <c r="I1375" s="195"/>
      <c r="J1375" s="195"/>
      <c r="K1375" s="196"/>
      <c r="L1375" s="454" t="s">
        <v>224</v>
      </c>
      <c r="M1375" s="454"/>
      <c r="N1375" s="303" t="s">
        <v>315</v>
      </c>
      <c r="O1375" s="303" t="s">
        <v>251</v>
      </c>
    </row>
    <row r="1376" spans="1:15" ht="15" customHeight="1">
      <c r="A1376" s="299" t="s">
        <v>52</v>
      </c>
      <c r="B1376" s="299"/>
      <c r="C1376" s="120">
        <f aca="true" t="shared" si="352" ref="C1376:K1376">SUM(C1377:C1381)</f>
        <v>2295.06842</v>
      </c>
      <c r="D1376" s="120">
        <f t="shared" si="352"/>
        <v>318.8</v>
      </c>
      <c r="E1376" s="120">
        <f t="shared" si="352"/>
        <v>335</v>
      </c>
      <c r="F1376" s="120">
        <f t="shared" si="352"/>
        <v>353.4</v>
      </c>
      <c r="G1376" s="120">
        <f>SUM(G1377:G1381)</f>
        <v>371.86842</v>
      </c>
      <c r="H1376" s="28">
        <f t="shared" si="340"/>
        <v>458</v>
      </c>
      <c r="I1376" s="120">
        <f>SUM(I1377:I1381)</f>
        <v>458</v>
      </c>
      <c r="J1376" s="120">
        <f>SUM(J1377:J1381)</f>
        <v>0</v>
      </c>
      <c r="K1376" s="120">
        <f t="shared" si="352"/>
        <v>0</v>
      </c>
      <c r="L1376" s="454"/>
      <c r="M1376" s="454"/>
      <c r="N1376" s="304"/>
      <c r="O1376" s="304"/>
    </row>
    <row r="1377" spans="1:15" ht="15" customHeight="1">
      <c r="A1377" s="299" t="s">
        <v>45</v>
      </c>
      <c r="B1377" s="299"/>
      <c r="C1377" s="111">
        <f>SUM(E1377:G1377)</f>
        <v>0</v>
      </c>
      <c r="D1377" s="120">
        <v>0</v>
      </c>
      <c r="E1377" s="120">
        <v>0</v>
      </c>
      <c r="F1377" s="120">
        <v>0</v>
      </c>
      <c r="G1377" s="120">
        <v>0</v>
      </c>
      <c r="H1377" s="28">
        <f t="shared" si="340"/>
        <v>0</v>
      </c>
      <c r="I1377" s="120">
        <v>0</v>
      </c>
      <c r="J1377" s="120">
        <v>0</v>
      </c>
      <c r="K1377" s="120">
        <v>0</v>
      </c>
      <c r="L1377" s="454"/>
      <c r="M1377" s="454"/>
      <c r="N1377" s="304"/>
      <c r="O1377" s="304"/>
    </row>
    <row r="1378" spans="1:15" ht="15" customHeight="1">
      <c r="A1378" s="299" t="s">
        <v>46</v>
      </c>
      <c r="B1378" s="299"/>
      <c r="C1378" s="112">
        <f>SUM(D1378:K1378)</f>
        <v>2295.06842</v>
      </c>
      <c r="D1378" s="120">
        <v>318.8</v>
      </c>
      <c r="E1378" s="120">
        <v>335</v>
      </c>
      <c r="F1378" s="120">
        <v>353.4</v>
      </c>
      <c r="G1378" s="120">
        <v>371.86842</v>
      </c>
      <c r="H1378" s="28">
        <f t="shared" si="340"/>
        <v>458</v>
      </c>
      <c r="I1378" s="120">
        <v>458</v>
      </c>
      <c r="J1378" s="120">
        <v>0</v>
      </c>
      <c r="K1378" s="120">
        <v>0</v>
      </c>
      <c r="L1378" s="454"/>
      <c r="M1378" s="454"/>
      <c r="N1378" s="304"/>
      <c r="O1378" s="304"/>
    </row>
    <row r="1379" spans="1:15" ht="15" customHeight="1">
      <c r="A1379" s="299" t="s">
        <v>47</v>
      </c>
      <c r="B1379" s="299"/>
      <c r="C1379" s="111">
        <f>SUM(E1379:G1379)</f>
        <v>0</v>
      </c>
      <c r="D1379" s="120">
        <v>0</v>
      </c>
      <c r="E1379" s="120">
        <v>0</v>
      </c>
      <c r="F1379" s="120">
        <v>0</v>
      </c>
      <c r="G1379" s="120">
        <v>0</v>
      </c>
      <c r="H1379" s="28">
        <f t="shared" si="340"/>
        <v>0</v>
      </c>
      <c r="I1379" s="120">
        <v>0</v>
      </c>
      <c r="J1379" s="120">
        <v>0</v>
      </c>
      <c r="K1379" s="120">
        <v>0</v>
      </c>
      <c r="L1379" s="454"/>
      <c r="M1379" s="454"/>
      <c r="N1379" s="304"/>
      <c r="O1379" s="304"/>
    </row>
    <row r="1380" spans="1:15" ht="15" customHeight="1">
      <c r="A1380" s="299" t="s">
        <v>48</v>
      </c>
      <c r="B1380" s="299"/>
      <c r="C1380" s="111">
        <f>SUM(E1380:G1380)</f>
        <v>0</v>
      </c>
      <c r="D1380" s="120">
        <v>0</v>
      </c>
      <c r="E1380" s="120">
        <v>0</v>
      </c>
      <c r="F1380" s="120">
        <v>0</v>
      </c>
      <c r="G1380" s="120">
        <v>0</v>
      </c>
      <c r="H1380" s="28">
        <f t="shared" si="340"/>
        <v>0</v>
      </c>
      <c r="I1380" s="120">
        <v>0</v>
      </c>
      <c r="J1380" s="120">
        <v>0</v>
      </c>
      <c r="K1380" s="120">
        <v>0</v>
      </c>
      <c r="L1380" s="454"/>
      <c r="M1380" s="454"/>
      <c r="N1380" s="304"/>
      <c r="O1380" s="304"/>
    </row>
    <row r="1381" spans="1:15" ht="14.25" customHeight="1">
      <c r="A1381" s="299" t="s">
        <v>49</v>
      </c>
      <c r="B1381" s="299"/>
      <c r="C1381" s="111">
        <f>SUM(E1381:G1381)</f>
        <v>0</v>
      </c>
      <c r="D1381" s="120">
        <v>0</v>
      </c>
      <c r="E1381" s="120">
        <v>0</v>
      </c>
      <c r="F1381" s="120">
        <v>0</v>
      </c>
      <c r="G1381" s="120">
        <v>0</v>
      </c>
      <c r="H1381" s="28">
        <f t="shared" si="340"/>
        <v>0</v>
      </c>
      <c r="I1381" s="120">
        <v>0</v>
      </c>
      <c r="J1381" s="120">
        <v>0</v>
      </c>
      <c r="K1381" s="120">
        <v>0</v>
      </c>
      <c r="L1381" s="454"/>
      <c r="M1381" s="454"/>
      <c r="N1381" s="305"/>
      <c r="O1381" s="305"/>
    </row>
    <row r="1382" spans="1:15" ht="34.5" customHeight="1">
      <c r="A1382" s="340" t="s">
        <v>368</v>
      </c>
      <c r="B1382" s="341"/>
      <c r="C1382" s="189"/>
      <c r="D1382" s="189"/>
      <c r="E1382" s="189"/>
      <c r="F1382" s="189"/>
      <c r="G1382" s="189"/>
      <c r="H1382" s="28"/>
      <c r="I1382" s="189"/>
      <c r="J1382" s="189"/>
      <c r="K1382" s="189"/>
      <c r="L1382" s="454" t="s">
        <v>224</v>
      </c>
      <c r="M1382" s="454"/>
      <c r="N1382" s="303" t="s">
        <v>315</v>
      </c>
      <c r="O1382" s="303" t="s">
        <v>251</v>
      </c>
    </row>
    <row r="1383" spans="1:15" ht="15" customHeight="1">
      <c r="A1383" s="299" t="s">
        <v>52</v>
      </c>
      <c r="B1383" s="299"/>
      <c r="C1383" s="120">
        <f aca="true" t="shared" si="353" ref="C1383:J1383">SUM(C1384:C1388)</f>
        <v>1923.1599999999999</v>
      </c>
      <c r="D1383" s="120">
        <f t="shared" si="353"/>
        <v>47</v>
      </c>
      <c r="E1383" s="120">
        <f t="shared" si="353"/>
        <v>49</v>
      </c>
      <c r="F1383" s="120">
        <f t="shared" si="353"/>
        <v>51.7</v>
      </c>
      <c r="G1383" s="120">
        <f t="shared" si="353"/>
        <v>51.66</v>
      </c>
      <c r="H1383" s="28">
        <f t="shared" si="340"/>
        <v>510.002436</v>
      </c>
      <c r="I1383" s="120">
        <f t="shared" si="353"/>
        <v>51.7</v>
      </c>
      <c r="J1383" s="120">
        <f t="shared" si="353"/>
        <v>405.1</v>
      </c>
      <c r="K1383" s="120">
        <v>53.202436</v>
      </c>
      <c r="L1383" s="454"/>
      <c r="M1383" s="454"/>
      <c r="N1383" s="304"/>
      <c r="O1383" s="304"/>
    </row>
    <row r="1384" spans="1:15" ht="15" customHeight="1">
      <c r="A1384" s="299" t="s">
        <v>45</v>
      </c>
      <c r="B1384" s="299"/>
      <c r="C1384" s="111">
        <f>SUM(E1384:G1384)</f>
        <v>0</v>
      </c>
      <c r="D1384" s="120">
        <v>0</v>
      </c>
      <c r="E1384" s="120">
        <v>0</v>
      </c>
      <c r="F1384" s="120">
        <v>0</v>
      </c>
      <c r="G1384" s="120">
        <v>0</v>
      </c>
      <c r="H1384" s="28">
        <f t="shared" si="340"/>
        <v>0</v>
      </c>
      <c r="I1384" s="120">
        <v>0</v>
      </c>
      <c r="J1384" s="120">
        <v>0</v>
      </c>
      <c r="K1384" s="120">
        <v>0</v>
      </c>
      <c r="L1384" s="454"/>
      <c r="M1384" s="454"/>
      <c r="N1384" s="304"/>
      <c r="O1384" s="304"/>
    </row>
    <row r="1385" spans="1:15" ht="15" customHeight="1">
      <c r="A1385" s="299" t="s">
        <v>46</v>
      </c>
      <c r="B1385" s="299"/>
      <c r="C1385" s="112">
        <f>SUM(D1385:K1385)</f>
        <v>1923.1599999999999</v>
      </c>
      <c r="D1385" s="120">
        <v>47</v>
      </c>
      <c r="E1385" s="120">
        <v>49</v>
      </c>
      <c r="F1385" s="120">
        <v>51.7</v>
      </c>
      <c r="G1385" s="120">
        <v>51.66</v>
      </c>
      <c r="H1385" s="28">
        <f t="shared" si="340"/>
        <v>861.9000000000001</v>
      </c>
      <c r="I1385" s="120">
        <v>51.7</v>
      </c>
      <c r="J1385" s="120">
        <v>405.1</v>
      </c>
      <c r="K1385" s="120">
        <v>405.1</v>
      </c>
      <c r="L1385" s="454"/>
      <c r="M1385" s="454"/>
      <c r="N1385" s="304"/>
      <c r="O1385" s="304"/>
    </row>
    <row r="1386" spans="1:15" ht="15" customHeight="1">
      <c r="A1386" s="299" t="s">
        <v>47</v>
      </c>
      <c r="B1386" s="299"/>
      <c r="C1386" s="111">
        <f>SUM(E1386:G1386)</f>
        <v>0</v>
      </c>
      <c r="D1386" s="120">
        <v>0</v>
      </c>
      <c r="E1386" s="120">
        <v>0</v>
      </c>
      <c r="F1386" s="120">
        <v>0</v>
      </c>
      <c r="G1386" s="120">
        <v>0</v>
      </c>
      <c r="H1386" s="28">
        <f t="shared" si="340"/>
        <v>0</v>
      </c>
      <c r="I1386" s="120">
        <v>0</v>
      </c>
      <c r="J1386" s="120">
        <v>0</v>
      </c>
      <c r="K1386" s="120">
        <v>0</v>
      </c>
      <c r="L1386" s="454"/>
      <c r="M1386" s="454"/>
      <c r="N1386" s="304"/>
      <c r="O1386" s="304"/>
    </row>
    <row r="1387" spans="1:15" ht="15" customHeight="1">
      <c r="A1387" s="299" t="s">
        <v>48</v>
      </c>
      <c r="B1387" s="299"/>
      <c r="C1387" s="111">
        <f>SUM(E1387:G1387)</f>
        <v>0</v>
      </c>
      <c r="D1387" s="120">
        <v>0</v>
      </c>
      <c r="E1387" s="120">
        <v>0</v>
      </c>
      <c r="F1387" s="120">
        <v>0</v>
      </c>
      <c r="G1387" s="120">
        <v>0</v>
      </c>
      <c r="H1387" s="28">
        <f t="shared" si="340"/>
        <v>0</v>
      </c>
      <c r="I1387" s="120">
        <v>0</v>
      </c>
      <c r="J1387" s="120">
        <v>0</v>
      </c>
      <c r="K1387" s="120">
        <v>0</v>
      </c>
      <c r="L1387" s="454"/>
      <c r="M1387" s="454"/>
      <c r="N1387" s="304"/>
      <c r="O1387" s="304"/>
    </row>
    <row r="1388" spans="1:15" ht="21" customHeight="1">
      <c r="A1388" s="299" t="s">
        <v>49</v>
      </c>
      <c r="B1388" s="299"/>
      <c r="C1388" s="111">
        <f>SUM(E1388:G1388)</f>
        <v>0</v>
      </c>
      <c r="D1388" s="120">
        <v>0</v>
      </c>
      <c r="E1388" s="120">
        <v>0</v>
      </c>
      <c r="F1388" s="120">
        <v>0</v>
      </c>
      <c r="G1388" s="120">
        <v>0</v>
      </c>
      <c r="H1388" s="28">
        <f t="shared" si="340"/>
        <v>0</v>
      </c>
      <c r="I1388" s="120">
        <v>0</v>
      </c>
      <c r="J1388" s="120">
        <v>0</v>
      </c>
      <c r="K1388" s="120">
        <v>0</v>
      </c>
      <c r="L1388" s="454"/>
      <c r="M1388" s="454"/>
      <c r="N1388" s="305"/>
      <c r="O1388" s="305"/>
    </row>
    <row r="1389" spans="1:15" ht="42" customHeight="1">
      <c r="A1389" s="340" t="s">
        <v>369</v>
      </c>
      <c r="B1389" s="341"/>
      <c r="C1389" s="189"/>
      <c r="D1389" s="189"/>
      <c r="E1389" s="189"/>
      <c r="F1389" s="189"/>
      <c r="G1389" s="189"/>
      <c r="H1389" s="28"/>
      <c r="I1389" s="189"/>
      <c r="J1389" s="189"/>
      <c r="K1389" s="189"/>
      <c r="L1389" s="454" t="s">
        <v>224</v>
      </c>
      <c r="M1389" s="454"/>
      <c r="N1389" s="303" t="s">
        <v>315</v>
      </c>
      <c r="O1389" s="303" t="s">
        <v>251</v>
      </c>
    </row>
    <row r="1390" spans="1:15" ht="15" customHeight="1">
      <c r="A1390" s="299" t="s">
        <v>52</v>
      </c>
      <c r="B1390" s="299"/>
      <c r="C1390" s="120">
        <f aca="true" t="shared" si="354" ref="C1390:K1390">SUM(C1391:C1395)</f>
        <v>1246.8</v>
      </c>
      <c r="D1390" s="120">
        <f t="shared" si="354"/>
        <v>132</v>
      </c>
      <c r="E1390" s="120">
        <f t="shared" si="354"/>
        <v>44</v>
      </c>
      <c r="F1390" s="120">
        <f t="shared" si="354"/>
        <v>0</v>
      </c>
      <c r="G1390" s="120">
        <f>SUM(G1391:G1395)</f>
        <v>80</v>
      </c>
      <c r="H1390" s="28">
        <f t="shared" si="340"/>
        <v>495.4</v>
      </c>
      <c r="I1390" s="120">
        <f>SUM(I1391:I1395)</f>
        <v>95.4</v>
      </c>
      <c r="J1390" s="120">
        <f>SUM(J1391:J1395)</f>
        <v>200</v>
      </c>
      <c r="K1390" s="120">
        <f t="shared" si="354"/>
        <v>200</v>
      </c>
      <c r="L1390" s="454"/>
      <c r="M1390" s="454"/>
      <c r="N1390" s="304"/>
      <c r="O1390" s="304"/>
    </row>
    <row r="1391" spans="1:15" ht="15" customHeight="1">
      <c r="A1391" s="299" t="s">
        <v>45</v>
      </c>
      <c r="B1391" s="299"/>
      <c r="C1391" s="111">
        <f>SUM(E1391:G1391)</f>
        <v>0</v>
      </c>
      <c r="D1391" s="120">
        <v>0</v>
      </c>
      <c r="E1391" s="120">
        <v>0</v>
      </c>
      <c r="F1391" s="120">
        <v>0</v>
      </c>
      <c r="G1391" s="120">
        <v>0</v>
      </c>
      <c r="H1391" s="28">
        <f t="shared" si="340"/>
        <v>0</v>
      </c>
      <c r="I1391" s="120">
        <v>0</v>
      </c>
      <c r="J1391" s="120">
        <v>0</v>
      </c>
      <c r="K1391" s="120">
        <v>0</v>
      </c>
      <c r="L1391" s="454"/>
      <c r="M1391" s="454"/>
      <c r="N1391" s="304"/>
      <c r="O1391" s="304"/>
    </row>
    <row r="1392" spans="1:15" ht="15" customHeight="1">
      <c r="A1392" s="299" t="s">
        <v>46</v>
      </c>
      <c r="B1392" s="299"/>
      <c r="C1392" s="112">
        <f>SUM(D1392:K1392)</f>
        <v>1246.8</v>
      </c>
      <c r="D1392" s="120">
        <f>232-100</f>
        <v>132</v>
      </c>
      <c r="E1392" s="120">
        <v>44</v>
      </c>
      <c r="F1392" s="120">
        <v>0</v>
      </c>
      <c r="G1392" s="120">
        <v>80</v>
      </c>
      <c r="H1392" s="28">
        <f t="shared" si="340"/>
        <v>495.4</v>
      </c>
      <c r="I1392" s="120">
        <v>95.4</v>
      </c>
      <c r="J1392" s="120">
        <v>200</v>
      </c>
      <c r="K1392" s="120">
        <v>200</v>
      </c>
      <c r="L1392" s="454"/>
      <c r="M1392" s="454"/>
      <c r="N1392" s="304"/>
      <c r="O1392" s="304"/>
    </row>
    <row r="1393" spans="1:15" ht="15" customHeight="1">
      <c r="A1393" s="299" t="s">
        <v>47</v>
      </c>
      <c r="B1393" s="299"/>
      <c r="C1393" s="111">
        <f>SUM(E1393:G1393)</f>
        <v>0</v>
      </c>
      <c r="D1393" s="120">
        <v>0</v>
      </c>
      <c r="E1393" s="120">
        <v>0</v>
      </c>
      <c r="F1393" s="120">
        <v>0</v>
      </c>
      <c r="G1393" s="120">
        <v>0</v>
      </c>
      <c r="H1393" s="28">
        <f t="shared" si="340"/>
        <v>0</v>
      </c>
      <c r="I1393" s="120">
        <v>0</v>
      </c>
      <c r="J1393" s="120">
        <v>0</v>
      </c>
      <c r="K1393" s="120">
        <v>0</v>
      </c>
      <c r="L1393" s="454"/>
      <c r="M1393" s="454"/>
      <c r="N1393" s="304"/>
      <c r="O1393" s="304"/>
    </row>
    <row r="1394" spans="1:15" ht="15" customHeight="1">
      <c r="A1394" s="299" t="s">
        <v>48</v>
      </c>
      <c r="B1394" s="299"/>
      <c r="C1394" s="111">
        <f>SUM(E1394:G1394)</f>
        <v>0</v>
      </c>
      <c r="D1394" s="120">
        <v>0</v>
      </c>
      <c r="E1394" s="120">
        <v>0</v>
      </c>
      <c r="F1394" s="120">
        <v>0</v>
      </c>
      <c r="G1394" s="120">
        <v>0</v>
      </c>
      <c r="H1394" s="28">
        <f aca="true" t="shared" si="355" ref="H1394:H1409">I1394+J1394+K1394</f>
        <v>0</v>
      </c>
      <c r="I1394" s="120">
        <v>0</v>
      </c>
      <c r="J1394" s="120">
        <v>0</v>
      </c>
      <c r="K1394" s="120">
        <v>0</v>
      </c>
      <c r="L1394" s="454"/>
      <c r="M1394" s="454"/>
      <c r="N1394" s="304"/>
      <c r="O1394" s="304"/>
    </row>
    <row r="1395" spans="1:15" ht="21.75" customHeight="1">
      <c r="A1395" s="299" t="s">
        <v>49</v>
      </c>
      <c r="B1395" s="299"/>
      <c r="C1395" s="111">
        <f>SUM(E1395:G1395)</f>
        <v>0</v>
      </c>
      <c r="D1395" s="120">
        <v>0</v>
      </c>
      <c r="E1395" s="120">
        <v>0</v>
      </c>
      <c r="F1395" s="120">
        <v>0</v>
      </c>
      <c r="G1395" s="120">
        <v>0</v>
      </c>
      <c r="H1395" s="28">
        <f t="shared" si="355"/>
        <v>0</v>
      </c>
      <c r="I1395" s="120">
        <v>0</v>
      </c>
      <c r="J1395" s="120">
        <v>0</v>
      </c>
      <c r="K1395" s="120">
        <v>0</v>
      </c>
      <c r="L1395" s="454"/>
      <c r="M1395" s="454"/>
      <c r="N1395" s="305"/>
      <c r="O1395" s="305"/>
    </row>
    <row r="1396" spans="1:15" ht="50.25" customHeight="1">
      <c r="A1396" s="455" t="s">
        <v>370</v>
      </c>
      <c r="B1396" s="457"/>
      <c r="C1396" s="189"/>
      <c r="D1396" s="189"/>
      <c r="E1396" s="189"/>
      <c r="F1396" s="189"/>
      <c r="G1396" s="189"/>
      <c r="H1396" s="28"/>
      <c r="I1396" s="189"/>
      <c r="J1396" s="189"/>
      <c r="K1396" s="189"/>
      <c r="L1396" s="460"/>
      <c r="M1396" s="454"/>
      <c r="N1396" s="453"/>
      <c r="O1396" s="453"/>
    </row>
    <row r="1397" spans="1:15" ht="15" customHeight="1">
      <c r="A1397" s="299" t="s">
        <v>52</v>
      </c>
      <c r="B1397" s="299"/>
      <c r="C1397" s="120">
        <f aca="true" t="shared" si="356" ref="C1397:K1397">SUM(C1398:C1402)</f>
        <v>379.826</v>
      </c>
      <c r="D1397" s="120">
        <f t="shared" si="356"/>
        <v>230</v>
      </c>
      <c r="E1397" s="120">
        <f t="shared" si="356"/>
        <v>149.826</v>
      </c>
      <c r="F1397" s="120">
        <f t="shared" si="356"/>
        <v>0</v>
      </c>
      <c r="G1397" s="120">
        <f>SUM(G1398:G1402)</f>
        <v>0</v>
      </c>
      <c r="H1397" s="28">
        <f t="shared" si="355"/>
        <v>0</v>
      </c>
      <c r="I1397" s="120">
        <f>SUM(I1398:I1402)</f>
        <v>0</v>
      </c>
      <c r="J1397" s="120">
        <f>SUM(J1398:J1402)</f>
        <v>0</v>
      </c>
      <c r="K1397" s="120">
        <f t="shared" si="356"/>
        <v>0</v>
      </c>
      <c r="L1397" s="460"/>
      <c r="M1397" s="454"/>
      <c r="N1397" s="453"/>
      <c r="O1397" s="453"/>
    </row>
    <row r="1398" spans="1:15" ht="15" customHeight="1">
      <c r="A1398" s="299" t="s">
        <v>45</v>
      </c>
      <c r="B1398" s="299"/>
      <c r="C1398" s="111">
        <f>SUM(E1398:G1398)</f>
        <v>0</v>
      </c>
      <c r="D1398" s="120">
        <f aca="true" t="shared" si="357" ref="D1398:F1402">D1405</f>
        <v>0</v>
      </c>
      <c r="E1398" s="120">
        <f t="shared" si="357"/>
        <v>0</v>
      </c>
      <c r="F1398" s="120">
        <f t="shared" si="357"/>
        <v>0</v>
      </c>
      <c r="G1398" s="120">
        <f aca="true" t="shared" si="358" ref="G1398:J1402">G1405</f>
        <v>0</v>
      </c>
      <c r="H1398" s="28">
        <f t="shared" si="355"/>
        <v>0</v>
      </c>
      <c r="I1398" s="120">
        <f t="shared" si="358"/>
        <v>0</v>
      </c>
      <c r="J1398" s="120">
        <f t="shared" si="358"/>
        <v>0</v>
      </c>
      <c r="K1398" s="120">
        <f>K1405</f>
        <v>0</v>
      </c>
      <c r="L1398" s="460"/>
      <c r="M1398" s="454"/>
      <c r="N1398" s="453"/>
      <c r="O1398" s="453"/>
    </row>
    <row r="1399" spans="1:15" ht="15" customHeight="1">
      <c r="A1399" s="299" t="s">
        <v>46</v>
      </c>
      <c r="B1399" s="299"/>
      <c r="C1399" s="112">
        <f>SUM(D1399:K1399)</f>
        <v>379.826</v>
      </c>
      <c r="D1399" s="120">
        <f t="shared" si="357"/>
        <v>230</v>
      </c>
      <c r="E1399" s="120">
        <f t="shared" si="357"/>
        <v>149.826</v>
      </c>
      <c r="F1399" s="120">
        <f t="shared" si="357"/>
        <v>0</v>
      </c>
      <c r="G1399" s="120">
        <f t="shared" si="358"/>
        <v>0</v>
      </c>
      <c r="H1399" s="28">
        <f t="shared" si="355"/>
        <v>0</v>
      </c>
      <c r="I1399" s="120">
        <f t="shared" si="358"/>
        <v>0</v>
      </c>
      <c r="J1399" s="120">
        <f t="shared" si="358"/>
        <v>0</v>
      </c>
      <c r="K1399" s="120">
        <v>0</v>
      </c>
      <c r="L1399" s="460"/>
      <c r="M1399" s="454"/>
      <c r="N1399" s="453"/>
      <c r="O1399" s="453"/>
    </row>
    <row r="1400" spans="1:15" ht="15" customHeight="1">
      <c r="A1400" s="299" t="s">
        <v>47</v>
      </c>
      <c r="B1400" s="299"/>
      <c r="C1400" s="111">
        <f>SUM(E1400:G1400)</f>
        <v>0</v>
      </c>
      <c r="D1400" s="120">
        <f t="shared" si="357"/>
        <v>0</v>
      </c>
      <c r="E1400" s="120">
        <f t="shared" si="357"/>
        <v>0</v>
      </c>
      <c r="F1400" s="120">
        <f t="shared" si="357"/>
        <v>0</v>
      </c>
      <c r="G1400" s="120">
        <f t="shared" si="358"/>
        <v>0</v>
      </c>
      <c r="H1400" s="28">
        <f t="shared" si="355"/>
        <v>0</v>
      </c>
      <c r="I1400" s="120">
        <f t="shared" si="358"/>
        <v>0</v>
      </c>
      <c r="J1400" s="120">
        <f t="shared" si="358"/>
        <v>0</v>
      </c>
      <c r="K1400" s="120">
        <f>K1407</f>
        <v>0</v>
      </c>
      <c r="L1400" s="460"/>
      <c r="M1400" s="454"/>
      <c r="N1400" s="453"/>
      <c r="O1400" s="453"/>
    </row>
    <row r="1401" spans="1:15" ht="15" customHeight="1">
      <c r="A1401" s="299" t="s">
        <v>48</v>
      </c>
      <c r="B1401" s="299"/>
      <c r="C1401" s="111">
        <f>SUM(E1401:G1401)</f>
        <v>0</v>
      </c>
      <c r="D1401" s="120">
        <f t="shared" si="357"/>
        <v>0</v>
      </c>
      <c r="E1401" s="120">
        <f t="shared" si="357"/>
        <v>0</v>
      </c>
      <c r="F1401" s="120">
        <f t="shared" si="357"/>
        <v>0</v>
      </c>
      <c r="G1401" s="120">
        <f t="shared" si="358"/>
        <v>0</v>
      </c>
      <c r="H1401" s="28">
        <f t="shared" si="355"/>
        <v>0</v>
      </c>
      <c r="I1401" s="120">
        <f t="shared" si="358"/>
        <v>0</v>
      </c>
      <c r="J1401" s="120">
        <f t="shared" si="358"/>
        <v>0</v>
      </c>
      <c r="K1401" s="120">
        <f>K1408</f>
        <v>0</v>
      </c>
      <c r="L1401" s="460"/>
      <c r="M1401" s="454"/>
      <c r="N1401" s="453"/>
      <c r="O1401" s="453"/>
    </row>
    <row r="1402" spans="1:15" ht="15" customHeight="1">
      <c r="A1402" s="299" t="s">
        <v>49</v>
      </c>
      <c r="B1402" s="299"/>
      <c r="C1402" s="111">
        <f>SUM(E1402:G1402)</f>
        <v>0</v>
      </c>
      <c r="D1402" s="120">
        <f t="shared" si="357"/>
        <v>0</v>
      </c>
      <c r="E1402" s="120">
        <f t="shared" si="357"/>
        <v>0</v>
      </c>
      <c r="F1402" s="120">
        <f t="shared" si="357"/>
        <v>0</v>
      </c>
      <c r="G1402" s="120">
        <f t="shared" si="358"/>
        <v>0</v>
      </c>
      <c r="H1402" s="28">
        <f t="shared" si="355"/>
        <v>0</v>
      </c>
      <c r="I1402" s="120">
        <f t="shared" si="358"/>
        <v>0</v>
      </c>
      <c r="J1402" s="120">
        <f t="shared" si="358"/>
        <v>0</v>
      </c>
      <c r="K1402" s="120">
        <f>K1409</f>
        <v>0</v>
      </c>
      <c r="L1402" s="460"/>
      <c r="M1402" s="454"/>
      <c r="N1402" s="453"/>
      <c r="O1402" s="453"/>
    </row>
    <row r="1403" spans="1:15" ht="54.75" customHeight="1">
      <c r="A1403" s="340" t="s">
        <v>371</v>
      </c>
      <c r="B1403" s="341"/>
      <c r="C1403" s="189"/>
      <c r="D1403" s="189"/>
      <c r="E1403" s="189"/>
      <c r="F1403" s="189"/>
      <c r="G1403" s="189"/>
      <c r="H1403" s="28"/>
      <c r="I1403" s="189"/>
      <c r="J1403" s="189"/>
      <c r="K1403" s="189"/>
      <c r="L1403" s="454" t="s">
        <v>97</v>
      </c>
      <c r="M1403" s="473"/>
      <c r="N1403" s="453"/>
      <c r="O1403" s="453"/>
    </row>
    <row r="1404" spans="1:15" ht="15" customHeight="1">
      <c r="A1404" s="299" t="s">
        <v>52</v>
      </c>
      <c r="B1404" s="299"/>
      <c r="C1404" s="120">
        <f aca="true" t="shared" si="359" ref="C1404:K1404">SUM(C1405:C1409)</f>
        <v>379.826</v>
      </c>
      <c r="D1404" s="120">
        <f t="shared" si="359"/>
        <v>230</v>
      </c>
      <c r="E1404" s="120">
        <f t="shared" si="359"/>
        <v>149.826</v>
      </c>
      <c r="F1404" s="120">
        <f t="shared" si="359"/>
        <v>0</v>
      </c>
      <c r="G1404" s="120">
        <f t="shared" si="359"/>
        <v>0</v>
      </c>
      <c r="H1404" s="28">
        <f t="shared" si="355"/>
        <v>0</v>
      </c>
      <c r="I1404" s="120">
        <f t="shared" si="359"/>
        <v>0</v>
      </c>
      <c r="J1404" s="120">
        <f t="shared" si="359"/>
        <v>0</v>
      </c>
      <c r="K1404" s="126">
        <f t="shared" si="359"/>
        <v>0</v>
      </c>
      <c r="L1404" s="454"/>
      <c r="M1404" s="473"/>
      <c r="N1404" s="453"/>
      <c r="O1404" s="453"/>
    </row>
    <row r="1405" spans="1:15" ht="15" customHeight="1">
      <c r="A1405" s="299" t="s">
        <v>45</v>
      </c>
      <c r="B1405" s="299"/>
      <c r="C1405" s="111">
        <f>SUM(E1405:G1405)</f>
        <v>0</v>
      </c>
      <c r="D1405" s="120">
        <v>0</v>
      </c>
      <c r="E1405" s="120">
        <v>0</v>
      </c>
      <c r="F1405" s="120">
        <v>0</v>
      </c>
      <c r="G1405" s="120">
        <v>0</v>
      </c>
      <c r="H1405" s="28">
        <f t="shared" si="355"/>
        <v>0</v>
      </c>
      <c r="I1405" s="120">
        <v>0</v>
      </c>
      <c r="J1405" s="120">
        <v>0</v>
      </c>
      <c r="K1405" s="126">
        <v>0</v>
      </c>
      <c r="L1405" s="454"/>
      <c r="M1405" s="473"/>
      <c r="N1405" s="453"/>
      <c r="O1405" s="453"/>
    </row>
    <row r="1406" spans="1:15" ht="15" customHeight="1">
      <c r="A1406" s="299" t="s">
        <v>46</v>
      </c>
      <c r="B1406" s="299"/>
      <c r="C1406" s="112">
        <f>SUM(D1406:K1406)</f>
        <v>379.826</v>
      </c>
      <c r="D1406" s="120">
        <v>230</v>
      </c>
      <c r="E1406" s="120">
        <v>149.826</v>
      </c>
      <c r="F1406" s="120">
        <v>0</v>
      </c>
      <c r="G1406" s="120">
        <v>0</v>
      </c>
      <c r="H1406" s="28">
        <f t="shared" si="355"/>
        <v>0</v>
      </c>
      <c r="I1406" s="120">
        <v>0</v>
      </c>
      <c r="J1406" s="120">
        <v>0</v>
      </c>
      <c r="K1406" s="126">
        <v>0</v>
      </c>
      <c r="L1406" s="454"/>
      <c r="M1406" s="473"/>
      <c r="N1406" s="453"/>
      <c r="O1406" s="453"/>
    </row>
    <row r="1407" spans="1:15" ht="15" customHeight="1">
      <c r="A1407" s="299" t="s">
        <v>47</v>
      </c>
      <c r="B1407" s="299"/>
      <c r="C1407" s="111">
        <f>SUM(E1407:G1407)</f>
        <v>0</v>
      </c>
      <c r="D1407" s="120">
        <v>0</v>
      </c>
      <c r="E1407" s="120">
        <v>0</v>
      </c>
      <c r="F1407" s="120">
        <v>0</v>
      </c>
      <c r="G1407" s="120">
        <v>0</v>
      </c>
      <c r="H1407" s="28">
        <f t="shared" si="355"/>
        <v>0</v>
      </c>
      <c r="I1407" s="120">
        <v>0</v>
      </c>
      <c r="J1407" s="120">
        <v>0</v>
      </c>
      <c r="K1407" s="120">
        <v>0</v>
      </c>
      <c r="L1407" s="454"/>
      <c r="M1407" s="473"/>
      <c r="N1407" s="453"/>
      <c r="O1407" s="453"/>
    </row>
    <row r="1408" spans="1:15" ht="15" customHeight="1">
      <c r="A1408" s="299" t="s">
        <v>48</v>
      </c>
      <c r="B1408" s="299"/>
      <c r="C1408" s="111">
        <f>SUM(E1408:G1408)</f>
        <v>0</v>
      </c>
      <c r="D1408" s="120">
        <v>0</v>
      </c>
      <c r="E1408" s="120">
        <v>0</v>
      </c>
      <c r="F1408" s="120">
        <v>0</v>
      </c>
      <c r="G1408" s="120">
        <v>0</v>
      </c>
      <c r="H1408" s="28">
        <f t="shared" si="355"/>
        <v>0</v>
      </c>
      <c r="I1408" s="120">
        <v>0</v>
      </c>
      <c r="J1408" s="120">
        <v>0</v>
      </c>
      <c r="K1408" s="120">
        <v>0</v>
      </c>
      <c r="L1408" s="454"/>
      <c r="M1408" s="473"/>
      <c r="N1408" s="453"/>
      <c r="O1408" s="453"/>
    </row>
    <row r="1409" spans="1:15" ht="15" customHeight="1">
      <c r="A1409" s="299" t="s">
        <v>49</v>
      </c>
      <c r="B1409" s="299"/>
      <c r="C1409" s="111">
        <f>SUM(E1409:G1409)</f>
        <v>0</v>
      </c>
      <c r="D1409" s="120">
        <v>0</v>
      </c>
      <c r="E1409" s="120">
        <v>0</v>
      </c>
      <c r="F1409" s="120">
        <v>0</v>
      </c>
      <c r="G1409" s="120">
        <v>0</v>
      </c>
      <c r="H1409" s="28">
        <f t="shared" si="355"/>
        <v>0</v>
      </c>
      <c r="I1409" s="120">
        <v>0</v>
      </c>
      <c r="J1409" s="120">
        <v>0</v>
      </c>
      <c r="K1409" s="120">
        <v>0</v>
      </c>
      <c r="L1409" s="454"/>
      <c r="M1409" s="473"/>
      <c r="N1409" s="453"/>
      <c r="O1409" s="453"/>
    </row>
    <row r="1410" spans="1:15" ht="15" customHeight="1">
      <c r="A1410" s="22"/>
      <c r="B1410" s="23" t="s">
        <v>20</v>
      </c>
      <c r="C1410" s="24"/>
      <c r="D1410" s="24"/>
      <c r="E1410" s="24"/>
      <c r="F1410" s="24"/>
      <c r="G1410" s="127"/>
      <c r="H1410" s="127"/>
      <c r="I1410" s="24"/>
      <c r="J1410" s="24"/>
      <c r="K1410" s="24"/>
      <c r="L1410" s="20"/>
      <c r="M1410" s="20"/>
      <c r="N1410" s="98"/>
      <c r="O1410" s="98"/>
    </row>
    <row r="1411" spans="1:15" ht="15" customHeight="1">
      <c r="A1411" s="22"/>
      <c r="B1411" s="25" t="s">
        <v>21</v>
      </c>
      <c r="C1411" s="24"/>
      <c r="D1411" s="24"/>
      <c r="E1411" s="24"/>
      <c r="F1411" s="24"/>
      <c r="G1411" s="127"/>
      <c r="H1411" s="127"/>
      <c r="I1411" s="24"/>
      <c r="J1411" s="24"/>
      <c r="K1411" s="24"/>
      <c r="L1411" s="20"/>
      <c r="M1411" s="20"/>
      <c r="N1411" s="98"/>
      <c r="O1411" s="98"/>
    </row>
    <row r="1412" spans="1:15" ht="15" customHeight="1">
      <c r="A1412" s="26"/>
      <c r="B1412" s="26"/>
      <c r="C1412" s="27"/>
      <c r="D1412" s="27"/>
      <c r="E1412" s="27"/>
      <c r="F1412" s="27"/>
      <c r="G1412" s="95"/>
      <c r="H1412" s="95"/>
      <c r="I1412" s="27"/>
      <c r="J1412" s="27"/>
      <c r="K1412" s="27"/>
      <c r="L1412" s="20"/>
      <c r="M1412" s="20"/>
      <c r="N1412" s="98"/>
      <c r="O1412" s="98"/>
    </row>
    <row r="1413" spans="1:15" ht="15" customHeight="1">
      <c r="A1413" s="26"/>
      <c r="B1413" s="26"/>
      <c r="C1413" s="27"/>
      <c r="D1413" s="27"/>
      <c r="E1413" s="27"/>
      <c r="F1413" s="27"/>
      <c r="G1413" s="95"/>
      <c r="H1413" s="95"/>
      <c r="I1413" s="27"/>
      <c r="J1413" s="27"/>
      <c r="K1413" s="27"/>
      <c r="L1413" s="20"/>
      <c r="M1413" s="20"/>
      <c r="N1413" s="98"/>
      <c r="O1413" s="98"/>
    </row>
    <row r="1414" spans="1:15" ht="15" customHeight="1">
      <c r="A1414" s="26"/>
      <c r="B1414" s="26"/>
      <c r="C1414" s="27"/>
      <c r="D1414" s="27"/>
      <c r="E1414" s="27"/>
      <c r="F1414" s="27"/>
      <c r="G1414" s="95"/>
      <c r="H1414" s="95"/>
      <c r="I1414" s="27"/>
      <c r="J1414" s="27"/>
      <c r="K1414" s="27"/>
      <c r="L1414" s="20"/>
      <c r="M1414" s="20"/>
      <c r="N1414" s="98"/>
      <c r="O1414" s="98"/>
    </row>
    <row r="1415" spans="1:15" ht="15" customHeight="1">
      <c r="A1415" s="26"/>
      <c r="B1415" s="26"/>
      <c r="C1415" s="27"/>
      <c r="D1415" s="27"/>
      <c r="E1415" s="27"/>
      <c r="F1415" s="27"/>
      <c r="G1415" s="95"/>
      <c r="H1415" s="95"/>
      <c r="I1415" s="27"/>
      <c r="J1415" s="27"/>
      <c r="K1415" s="27"/>
      <c r="L1415" s="20"/>
      <c r="M1415" s="20"/>
      <c r="N1415" s="98"/>
      <c r="O1415" s="98"/>
    </row>
    <row r="1416" spans="1:15" ht="15" customHeight="1">
      <c r="A1416" s="26"/>
      <c r="B1416" s="26"/>
      <c r="C1416" s="27"/>
      <c r="D1416" s="27"/>
      <c r="E1416" s="27"/>
      <c r="F1416" s="27"/>
      <c r="G1416" s="95"/>
      <c r="H1416" s="95"/>
      <c r="I1416" s="27"/>
      <c r="J1416" s="27"/>
      <c r="K1416" s="27"/>
      <c r="L1416" s="20"/>
      <c r="M1416" s="20"/>
      <c r="N1416" s="98"/>
      <c r="O1416" s="98"/>
    </row>
    <row r="1417" spans="1:15" ht="15" customHeight="1">
      <c r="A1417" s="26"/>
      <c r="B1417" s="26"/>
      <c r="C1417" s="27"/>
      <c r="D1417" s="27"/>
      <c r="E1417" s="27"/>
      <c r="F1417" s="27"/>
      <c r="G1417" s="95"/>
      <c r="H1417" s="95"/>
      <c r="I1417" s="27"/>
      <c r="J1417" s="27"/>
      <c r="K1417" s="27"/>
      <c r="L1417" s="20"/>
      <c r="M1417" s="20"/>
      <c r="N1417" s="98"/>
      <c r="O1417" s="98"/>
    </row>
    <row r="1418" spans="1:15" ht="15" customHeight="1">
      <c r="A1418" s="26"/>
      <c r="B1418" s="26"/>
      <c r="C1418" s="27"/>
      <c r="D1418" s="27"/>
      <c r="E1418" s="27"/>
      <c r="F1418" s="27"/>
      <c r="G1418" s="95"/>
      <c r="H1418" s="95"/>
      <c r="I1418" s="27"/>
      <c r="J1418" s="27"/>
      <c r="K1418" s="27"/>
      <c r="L1418" s="20"/>
      <c r="M1418" s="20"/>
      <c r="N1418" s="98"/>
      <c r="O1418" s="98"/>
    </row>
    <row r="1419" spans="1:15" ht="15" customHeight="1">
      <c r="A1419" s="26"/>
      <c r="B1419" s="26"/>
      <c r="C1419" s="27"/>
      <c r="D1419" s="27"/>
      <c r="E1419" s="27"/>
      <c r="F1419" s="27"/>
      <c r="G1419" s="95"/>
      <c r="H1419" s="95"/>
      <c r="I1419" s="27"/>
      <c r="J1419" s="27"/>
      <c r="K1419" s="27"/>
      <c r="L1419" s="20"/>
      <c r="M1419" s="20"/>
      <c r="N1419" s="98"/>
      <c r="O1419" s="98"/>
    </row>
    <row r="1420" spans="1:15" ht="15" customHeight="1">
      <c r="A1420" s="26"/>
      <c r="B1420" s="26"/>
      <c r="C1420" s="27"/>
      <c r="D1420" s="27"/>
      <c r="E1420" s="27"/>
      <c r="F1420" s="27"/>
      <c r="G1420" s="95"/>
      <c r="H1420" s="95"/>
      <c r="I1420" s="27"/>
      <c r="J1420" s="27"/>
      <c r="K1420" s="27"/>
      <c r="L1420" s="20"/>
      <c r="M1420" s="20"/>
      <c r="N1420" s="98"/>
      <c r="O1420" s="98"/>
    </row>
    <row r="1421" spans="1:15" ht="15" customHeight="1">
      <c r="A1421" s="26"/>
      <c r="B1421" s="26"/>
      <c r="C1421" s="27"/>
      <c r="D1421" s="27"/>
      <c r="E1421" s="27"/>
      <c r="F1421" s="27"/>
      <c r="G1421" s="95"/>
      <c r="H1421" s="95"/>
      <c r="I1421" s="27"/>
      <c r="J1421" s="27"/>
      <c r="K1421" s="27"/>
      <c r="L1421" s="20"/>
      <c r="M1421" s="20"/>
      <c r="N1421" s="98"/>
      <c r="O1421" s="98"/>
    </row>
    <row r="1422" spans="1:15" ht="15" customHeight="1">
      <c r="A1422" s="26"/>
      <c r="B1422" s="26"/>
      <c r="C1422" s="27"/>
      <c r="D1422" s="27"/>
      <c r="E1422" s="27"/>
      <c r="F1422" s="27"/>
      <c r="G1422" s="95"/>
      <c r="H1422" s="95"/>
      <c r="I1422" s="27"/>
      <c r="J1422" s="27"/>
      <c r="K1422" s="27"/>
      <c r="L1422" s="20"/>
      <c r="M1422" s="20"/>
      <c r="N1422" s="98"/>
      <c r="O1422" s="98"/>
    </row>
    <row r="1423" spans="1:15" ht="15" customHeight="1">
      <c r="A1423" s="26"/>
      <c r="B1423" s="26"/>
      <c r="C1423" s="27"/>
      <c r="D1423" s="27"/>
      <c r="E1423" s="27"/>
      <c r="F1423" s="27"/>
      <c r="G1423" s="95"/>
      <c r="H1423" s="95"/>
      <c r="I1423" s="27"/>
      <c r="J1423" s="27"/>
      <c r="K1423" s="27"/>
      <c r="L1423" s="20"/>
      <c r="M1423" s="20"/>
      <c r="N1423" s="98"/>
      <c r="O1423" s="98"/>
    </row>
    <row r="1424" spans="1:15" ht="15" customHeight="1">
      <c r="A1424" s="26"/>
      <c r="B1424" s="26"/>
      <c r="C1424" s="27"/>
      <c r="D1424" s="27"/>
      <c r="E1424" s="27"/>
      <c r="F1424" s="27"/>
      <c r="G1424" s="95"/>
      <c r="H1424" s="95"/>
      <c r="I1424" s="27"/>
      <c r="J1424" s="27"/>
      <c r="K1424" s="27"/>
      <c r="L1424" s="20"/>
      <c r="M1424" s="20"/>
      <c r="N1424" s="98"/>
      <c r="O1424" s="98"/>
    </row>
    <row r="1425" spans="1:15" ht="15" customHeight="1">
      <c r="A1425" s="26"/>
      <c r="B1425" s="26"/>
      <c r="C1425" s="27"/>
      <c r="D1425" s="27"/>
      <c r="E1425" s="27"/>
      <c r="F1425" s="27"/>
      <c r="G1425" s="95"/>
      <c r="H1425" s="95"/>
      <c r="I1425" s="27"/>
      <c r="J1425" s="27"/>
      <c r="K1425" s="27"/>
      <c r="L1425" s="20"/>
      <c r="M1425" s="20"/>
      <c r="N1425" s="98"/>
      <c r="O1425" s="98"/>
    </row>
    <row r="1426" spans="1:15" ht="15" customHeight="1">
      <c r="A1426" s="26"/>
      <c r="B1426" s="26"/>
      <c r="C1426" s="27"/>
      <c r="D1426" s="27"/>
      <c r="E1426" s="27"/>
      <c r="F1426" s="27"/>
      <c r="G1426" s="95"/>
      <c r="H1426" s="95"/>
      <c r="I1426" s="27"/>
      <c r="J1426" s="27"/>
      <c r="K1426" s="27"/>
      <c r="L1426" s="20"/>
      <c r="M1426" s="20"/>
      <c r="N1426" s="98"/>
      <c r="O1426" s="98"/>
    </row>
    <row r="1427" spans="1:15" ht="15" customHeight="1">
      <c r="A1427" s="26"/>
      <c r="B1427" s="26"/>
      <c r="C1427" s="27"/>
      <c r="D1427" s="27"/>
      <c r="E1427" s="27"/>
      <c r="F1427" s="27"/>
      <c r="G1427" s="95"/>
      <c r="H1427" s="95"/>
      <c r="I1427" s="27"/>
      <c r="J1427" s="27"/>
      <c r="K1427" s="27"/>
      <c r="L1427" s="20"/>
      <c r="M1427" s="20"/>
      <c r="N1427" s="98"/>
      <c r="O1427" s="98"/>
    </row>
    <row r="1428" spans="1:15" ht="15" customHeight="1">
      <c r="A1428" s="26"/>
      <c r="B1428" s="26"/>
      <c r="C1428" s="27"/>
      <c r="D1428" s="27"/>
      <c r="E1428" s="27"/>
      <c r="F1428" s="27"/>
      <c r="G1428" s="95"/>
      <c r="H1428" s="95"/>
      <c r="I1428" s="27"/>
      <c r="J1428" s="27"/>
      <c r="K1428" s="27"/>
      <c r="L1428" s="20"/>
      <c r="M1428" s="20"/>
      <c r="N1428" s="98"/>
      <c r="O1428" s="98"/>
    </row>
    <row r="1429" spans="1:15" ht="15" customHeight="1">
      <c r="A1429" s="26"/>
      <c r="B1429" s="26"/>
      <c r="C1429" s="27"/>
      <c r="D1429" s="27"/>
      <c r="E1429" s="27"/>
      <c r="F1429" s="27"/>
      <c r="G1429" s="95"/>
      <c r="H1429" s="95"/>
      <c r="I1429" s="27"/>
      <c r="J1429" s="27"/>
      <c r="K1429" s="27"/>
      <c r="L1429" s="20"/>
      <c r="M1429" s="20"/>
      <c r="N1429" s="98"/>
      <c r="O1429" s="98"/>
    </row>
    <row r="1430" spans="1:15" ht="15" customHeight="1">
      <c r="A1430" s="26"/>
      <c r="B1430" s="26"/>
      <c r="C1430" s="27"/>
      <c r="D1430" s="27"/>
      <c r="E1430" s="27"/>
      <c r="F1430" s="27"/>
      <c r="G1430" s="95"/>
      <c r="H1430" s="95"/>
      <c r="I1430" s="27"/>
      <c r="J1430" s="27"/>
      <c r="K1430" s="27"/>
      <c r="L1430" s="20"/>
      <c r="M1430" s="20"/>
      <c r="N1430" s="98"/>
      <c r="O1430" s="98"/>
    </row>
    <row r="1431" spans="1:15" ht="15" customHeight="1">
      <c r="A1431" s="26"/>
      <c r="B1431" s="26"/>
      <c r="C1431" s="27"/>
      <c r="D1431" s="27"/>
      <c r="E1431" s="27"/>
      <c r="F1431" s="27"/>
      <c r="G1431" s="95"/>
      <c r="H1431" s="95"/>
      <c r="I1431" s="27"/>
      <c r="J1431" s="27"/>
      <c r="K1431" s="27"/>
      <c r="L1431" s="20"/>
      <c r="M1431" s="20"/>
      <c r="N1431" s="98"/>
      <c r="O1431" s="98"/>
    </row>
    <row r="1432" spans="1:15" ht="15" customHeight="1">
      <c r="A1432" s="26"/>
      <c r="B1432" s="26"/>
      <c r="C1432" s="27"/>
      <c r="D1432" s="27"/>
      <c r="E1432" s="27"/>
      <c r="F1432" s="27"/>
      <c r="G1432" s="95"/>
      <c r="H1432" s="95"/>
      <c r="I1432" s="27"/>
      <c r="J1432" s="27"/>
      <c r="K1432" s="27"/>
      <c r="L1432" s="20"/>
      <c r="M1432" s="20"/>
      <c r="N1432" s="98"/>
      <c r="O1432" s="98"/>
    </row>
    <row r="1433" spans="1:15" ht="15" customHeight="1">
      <c r="A1433" s="26"/>
      <c r="B1433" s="26"/>
      <c r="C1433" s="27"/>
      <c r="D1433" s="27"/>
      <c r="E1433" s="27"/>
      <c r="F1433" s="27"/>
      <c r="G1433" s="95"/>
      <c r="H1433" s="95"/>
      <c r="I1433" s="27"/>
      <c r="J1433" s="27"/>
      <c r="K1433" s="27"/>
      <c r="L1433" s="20"/>
      <c r="M1433" s="20"/>
      <c r="N1433" s="98"/>
      <c r="O1433" s="98"/>
    </row>
    <row r="1434" spans="1:15" ht="15" customHeight="1">
      <c r="A1434" s="26"/>
      <c r="B1434" s="26"/>
      <c r="C1434" s="27"/>
      <c r="D1434" s="27"/>
      <c r="E1434" s="27"/>
      <c r="F1434" s="27"/>
      <c r="G1434" s="95"/>
      <c r="H1434" s="95"/>
      <c r="I1434" s="27"/>
      <c r="J1434" s="27"/>
      <c r="K1434" s="27"/>
      <c r="L1434" s="20"/>
      <c r="M1434" s="20"/>
      <c r="N1434" s="98"/>
      <c r="O1434" s="98"/>
    </row>
    <row r="1435" spans="1:15" ht="15" customHeight="1">
      <c r="A1435" s="26"/>
      <c r="B1435" s="26"/>
      <c r="C1435" s="27"/>
      <c r="D1435" s="27"/>
      <c r="E1435" s="27"/>
      <c r="F1435" s="27"/>
      <c r="G1435" s="95"/>
      <c r="H1435" s="95"/>
      <c r="I1435" s="27"/>
      <c r="J1435" s="27"/>
      <c r="K1435" s="27"/>
      <c r="L1435" s="20"/>
      <c r="M1435" s="20"/>
      <c r="N1435" s="98"/>
      <c r="O1435" s="98"/>
    </row>
    <row r="1436" spans="1:15" ht="15" customHeight="1">
      <c r="A1436" s="26"/>
      <c r="B1436" s="26"/>
      <c r="C1436" s="27"/>
      <c r="D1436" s="27"/>
      <c r="E1436" s="27"/>
      <c r="F1436" s="27"/>
      <c r="G1436" s="95"/>
      <c r="H1436" s="95"/>
      <c r="I1436" s="27"/>
      <c r="J1436" s="27"/>
      <c r="K1436" s="27"/>
      <c r="L1436" s="20"/>
      <c r="M1436" s="20"/>
      <c r="N1436" s="98"/>
      <c r="O1436" s="98"/>
    </row>
    <row r="1437" spans="1:15" ht="15" customHeight="1">
      <c r="A1437" s="26"/>
      <c r="B1437" s="26"/>
      <c r="C1437" s="27"/>
      <c r="D1437" s="27"/>
      <c r="E1437" s="27"/>
      <c r="F1437" s="27"/>
      <c r="G1437" s="95"/>
      <c r="H1437" s="95"/>
      <c r="I1437" s="27"/>
      <c r="J1437" s="27"/>
      <c r="K1437" s="27"/>
      <c r="L1437" s="20"/>
      <c r="M1437" s="20"/>
      <c r="N1437" s="98"/>
      <c r="O1437" s="98"/>
    </row>
    <row r="1438" spans="1:15" ht="15" customHeight="1">
      <c r="A1438" s="26"/>
      <c r="B1438" s="26"/>
      <c r="C1438" s="27"/>
      <c r="D1438" s="27"/>
      <c r="E1438" s="27"/>
      <c r="F1438" s="27"/>
      <c r="G1438" s="95"/>
      <c r="H1438" s="95"/>
      <c r="I1438" s="27"/>
      <c r="J1438" s="27"/>
      <c r="K1438" s="27"/>
      <c r="L1438" s="20"/>
      <c r="M1438" s="20"/>
      <c r="N1438" s="98"/>
      <c r="O1438" s="98"/>
    </row>
    <row r="1439" spans="1:15" ht="15" customHeight="1">
      <c r="A1439" s="26"/>
      <c r="B1439" s="26"/>
      <c r="C1439" s="27"/>
      <c r="D1439" s="27"/>
      <c r="E1439" s="27"/>
      <c r="F1439" s="27"/>
      <c r="G1439" s="95"/>
      <c r="H1439" s="95"/>
      <c r="I1439" s="27"/>
      <c r="J1439" s="27"/>
      <c r="K1439" s="27"/>
      <c r="L1439" s="20"/>
      <c r="M1439" s="20"/>
      <c r="N1439" s="98"/>
      <c r="O1439" s="98"/>
    </row>
    <row r="1440" spans="1:15" ht="15" customHeight="1">
      <c r="A1440" s="26"/>
      <c r="B1440" s="26"/>
      <c r="C1440" s="27"/>
      <c r="D1440" s="27"/>
      <c r="E1440" s="27"/>
      <c r="F1440" s="27"/>
      <c r="G1440" s="95"/>
      <c r="H1440" s="95"/>
      <c r="I1440" s="27"/>
      <c r="J1440" s="27"/>
      <c r="K1440" s="27"/>
      <c r="L1440" s="20"/>
      <c r="M1440" s="20"/>
      <c r="N1440" s="98"/>
      <c r="O1440" s="98"/>
    </row>
    <row r="1441" spans="1:15" ht="15" customHeight="1">
      <c r="A1441" s="26"/>
      <c r="B1441" s="26"/>
      <c r="C1441" s="27"/>
      <c r="D1441" s="27"/>
      <c r="E1441" s="27"/>
      <c r="F1441" s="27"/>
      <c r="G1441" s="95"/>
      <c r="H1441" s="95"/>
      <c r="I1441" s="27"/>
      <c r="J1441" s="27"/>
      <c r="K1441" s="27"/>
      <c r="L1441" s="7"/>
      <c r="M1441" s="7"/>
      <c r="N1441" s="98"/>
      <c r="O1441" s="98"/>
    </row>
    <row r="1442" spans="1:15" ht="15" customHeight="1">
      <c r="A1442" s="26"/>
      <c r="B1442" s="26"/>
      <c r="C1442" s="27"/>
      <c r="D1442" s="27"/>
      <c r="E1442" s="27"/>
      <c r="F1442" s="27"/>
      <c r="G1442" s="95"/>
      <c r="H1442" s="95"/>
      <c r="I1442" s="27"/>
      <c r="J1442" s="27"/>
      <c r="K1442" s="27"/>
      <c r="L1442" s="7"/>
      <c r="M1442" s="7"/>
      <c r="N1442" s="98"/>
      <c r="O1442" s="98"/>
    </row>
    <row r="1443" spans="1:15" ht="15" customHeight="1">
      <c r="A1443" s="26"/>
      <c r="B1443" s="26"/>
      <c r="C1443" s="27"/>
      <c r="D1443" s="27"/>
      <c r="E1443" s="27"/>
      <c r="F1443" s="27"/>
      <c r="G1443" s="95"/>
      <c r="H1443" s="95"/>
      <c r="I1443" s="27"/>
      <c r="J1443" s="27"/>
      <c r="K1443" s="27"/>
      <c r="L1443" s="7"/>
      <c r="M1443" s="7"/>
      <c r="N1443" s="98"/>
      <c r="O1443" s="98"/>
    </row>
    <row r="1444" spans="1:15" ht="15" customHeight="1">
      <c r="A1444" s="26"/>
      <c r="B1444" s="26"/>
      <c r="C1444" s="27"/>
      <c r="D1444" s="27"/>
      <c r="E1444" s="27"/>
      <c r="F1444" s="27"/>
      <c r="G1444" s="95"/>
      <c r="H1444" s="95"/>
      <c r="I1444" s="27"/>
      <c r="J1444" s="27"/>
      <c r="K1444" s="27"/>
      <c r="L1444" s="7"/>
      <c r="M1444" s="7"/>
      <c r="N1444" s="98"/>
      <c r="O1444" s="98"/>
    </row>
    <row r="1445" spans="1:15" ht="15" customHeight="1">
      <c r="A1445" s="26"/>
      <c r="B1445" s="26"/>
      <c r="C1445" s="27"/>
      <c r="D1445" s="27"/>
      <c r="E1445" s="27"/>
      <c r="F1445" s="27"/>
      <c r="G1445" s="95"/>
      <c r="H1445" s="95"/>
      <c r="I1445" s="27"/>
      <c r="J1445" s="27"/>
      <c r="K1445" s="27"/>
      <c r="L1445" s="7"/>
      <c r="M1445" s="7"/>
      <c r="N1445" s="98"/>
      <c r="O1445" s="98"/>
    </row>
    <row r="1446" spans="1:15" ht="15" customHeight="1">
      <c r="A1446" s="26"/>
      <c r="B1446" s="26"/>
      <c r="C1446" s="27"/>
      <c r="D1446" s="27"/>
      <c r="E1446" s="27"/>
      <c r="F1446" s="27"/>
      <c r="G1446" s="95"/>
      <c r="H1446" s="95"/>
      <c r="I1446" s="27"/>
      <c r="J1446" s="27"/>
      <c r="K1446" s="27"/>
      <c r="L1446" s="7"/>
      <c r="M1446" s="7"/>
      <c r="N1446" s="98"/>
      <c r="O1446" s="98"/>
    </row>
    <row r="1447" spans="1:15" ht="15" customHeight="1">
      <c r="A1447" s="26"/>
      <c r="B1447" s="26"/>
      <c r="C1447" s="27"/>
      <c r="D1447" s="27"/>
      <c r="E1447" s="27"/>
      <c r="F1447" s="27"/>
      <c r="G1447" s="95"/>
      <c r="H1447" s="95"/>
      <c r="I1447" s="27"/>
      <c r="J1447" s="27"/>
      <c r="K1447" s="27"/>
      <c r="L1447" s="7"/>
      <c r="M1447" s="7"/>
      <c r="N1447" s="98"/>
      <c r="O1447" s="98"/>
    </row>
    <row r="1448" spans="1:15" ht="15" customHeight="1">
      <c r="A1448" s="26"/>
      <c r="B1448" s="26"/>
      <c r="C1448" s="27"/>
      <c r="D1448" s="27"/>
      <c r="E1448" s="27"/>
      <c r="F1448" s="27"/>
      <c r="G1448" s="95"/>
      <c r="H1448" s="95"/>
      <c r="I1448" s="27"/>
      <c r="J1448" s="27"/>
      <c r="K1448" s="27"/>
      <c r="L1448" s="7"/>
      <c r="M1448" s="7"/>
      <c r="N1448" s="98"/>
      <c r="O1448" s="98"/>
    </row>
    <row r="1449" spans="1:15" ht="15" customHeight="1">
      <c r="A1449" s="26"/>
      <c r="B1449" s="26"/>
      <c r="C1449" s="27"/>
      <c r="D1449" s="27"/>
      <c r="E1449" s="27"/>
      <c r="F1449" s="27"/>
      <c r="G1449" s="95"/>
      <c r="H1449" s="95"/>
      <c r="I1449" s="27"/>
      <c r="J1449" s="27"/>
      <c r="K1449" s="27"/>
      <c r="L1449" s="7"/>
      <c r="M1449" s="7"/>
      <c r="N1449" s="98"/>
      <c r="O1449" s="98"/>
    </row>
    <row r="1450" spans="1:15" ht="15" customHeight="1">
      <c r="A1450" s="26"/>
      <c r="B1450" s="26"/>
      <c r="C1450" s="27"/>
      <c r="D1450" s="27"/>
      <c r="E1450" s="27"/>
      <c r="F1450" s="27"/>
      <c r="G1450" s="95"/>
      <c r="H1450" s="95"/>
      <c r="I1450" s="27"/>
      <c r="J1450" s="27"/>
      <c r="K1450" s="27"/>
      <c r="L1450" s="7"/>
      <c r="M1450" s="7"/>
      <c r="N1450" s="98"/>
      <c r="O1450" s="98"/>
    </row>
    <row r="1451" spans="1:15" ht="15" customHeight="1">
      <c r="A1451" s="26"/>
      <c r="B1451" s="26"/>
      <c r="C1451" s="27"/>
      <c r="D1451" s="27"/>
      <c r="E1451" s="27"/>
      <c r="F1451" s="27"/>
      <c r="G1451" s="95"/>
      <c r="H1451" s="95"/>
      <c r="I1451" s="27"/>
      <c r="J1451" s="27"/>
      <c r="K1451" s="27"/>
      <c r="L1451" s="7"/>
      <c r="M1451" s="7"/>
      <c r="N1451" s="98"/>
      <c r="O1451" s="98"/>
    </row>
    <row r="1452" spans="1:15" ht="15" customHeight="1">
      <c r="A1452" s="26"/>
      <c r="B1452" s="26"/>
      <c r="C1452" s="27"/>
      <c r="D1452" s="27"/>
      <c r="E1452" s="27"/>
      <c r="F1452" s="27"/>
      <c r="G1452" s="95"/>
      <c r="H1452" s="95"/>
      <c r="I1452" s="27"/>
      <c r="J1452" s="27"/>
      <c r="K1452" s="27"/>
      <c r="L1452" s="7"/>
      <c r="M1452" s="7"/>
      <c r="N1452" s="98"/>
      <c r="O1452" s="98"/>
    </row>
    <row r="1453" spans="1:15" ht="15" customHeight="1">
      <c r="A1453" s="26"/>
      <c r="B1453" s="26"/>
      <c r="C1453" s="27"/>
      <c r="D1453" s="27"/>
      <c r="E1453" s="27"/>
      <c r="F1453" s="27"/>
      <c r="G1453" s="95"/>
      <c r="H1453" s="95"/>
      <c r="I1453" s="27"/>
      <c r="J1453" s="27"/>
      <c r="K1453" s="27"/>
      <c r="L1453" s="7"/>
      <c r="M1453" s="7"/>
      <c r="N1453" s="98"/>
      <c r="O1453" s="98"/>
    </row>
    <row r="1454" spans="1:15" ht="15" customHeight="1">
      <c r="A1454" s="26"/>
      <c r="B1454" s="26"/>
      <c r="C1454" s="27"/>
      <c r="D1454" s="27"/>
      <c r="E1454" s="27"/>
      <c r="F1454" s="27"/>
      <c r="G1454" s="95"/>
      <c r="H1454" s="95"/>
      <c r="I1454" s="27"/>
      <c r="J1454" s="27"/>
      <c r="K1454" s="27"/>
      <c r="L1454" s="7"/>
      <c r="M1454" s="7"/>
      <c r="N1454" s="98"/>
      <c r="O1454" s="98"/>
    </row>
    <row r="1455" spans="1:15" ht="15" customHeight="1">
      <c r="A1455" s="26"/>
      <c r="B1455" s="26"/>
      <c r="C1455" s="27"/>
      <c r="D1455" s="27"/>
      <c r="E1455" s="27"/>
      <c r="F1455" s="27"/>
      <c r="G1455" s="95"/>
      <c r="H1455" s="95"/>
      <c r="I1455" s="27"/>
      <c r="J1455" s="27"/>
      <c r="K1455" s="27"/>
      <c r="L1455" s="7"/>
      <c r="M1455" s="7"/>
      <c r="N1455" s="98"/>
      <c r="O1455" s="98"/>
    </row>
    <row r="1456" spans="1:15" ht="15" customHeight="1">
      <c r="A1456" s="26"/>
      <c r="B1456" s="26"/>
      <c r="C1456" s="27"/>
      <c r="D1456" s="27"/>
      <c r="E1456" s="27"/>
      <c r="F1456" s="27"/>
      <c r="G1456" s="95"/>
      <c r="H1456" s="95"/>
      <c r="I1456" s="27"/>
      <c r="J1456" s="27"/>
      <c r="K1456" s="27"/>
      <c r="L1456" s="7"/>
      <c r="M1456" s="7"/>
      <c r="N1456" s="98"/>
      <c r="O1456" s="98"/>
    </row>
    <row r="1457" spans="1:15" ht="15" customHeight="1">
      <c r="A1457" s="26"/>
      <c r="B1457" s="26"/>
      <c r="C1457" s="27"/>
      <c r="D1457" s="27"/>
      <c r="E1457" s="27"/>
      <c r="F1457" s="27"/>
      <c r="G1457" s="95"/>
      <c r="H1457" s="95"/>
      <c r="I1457" s="27"/>
      <c r="J1457" s="27"/>
      <c r="K1457" s="27"/>
      <c r="L1457" s="7"/>
      <c r="M1457" s="7"/>
      <c r="N1457" s="98"/>
      <c r="O1457" s="98"/>
    </row>
    <row r="1458" spans="1:15" ht="15" customHeight="1">
      <c r="A1458" s="26"/>
      <c r="B1458" s="26"/>
      <c r="C1458" s="27"/>
      <c r="D1458" s="27"/>
      <c r="E1458" s="27"/>
      <c r="F1458" s="27"/>
      <c r="G1458" s="95"/>
      <c r="H1458" s="95"/>
      <c r="I1458" s="27"/>
      <c r="J1458" s="27"/>
      <c r="K1458" s="27"/>
      <c r="L1458" s="7"/>
      <c r="M1458" s="7"/>
      <c r="N1458" s="98"/>
      <c r="O1458" s="98"/>
    </row>
    <row r="1459" spans="1:15" ht="15" customHeight="1">
      <c r="A1459" s="21"/>
      <c r="B1459" s="21"/>
      <c r="C1459" s="95"/>
      <c r="D1459" s="95"/>
      <c r="E1459" s="95"/>
      <c r="F1459" s="95"/>
      <c r="G1459" s="95"/>
      <c r="H1459" s="95"/>
      <c r="I1459" s="95"/>
      <c r="J1459" s="95"/>
      <c r="K1459" s="95"/>
      <c r="L1459" s="7"/>
      <c r="M1459" s="7"/>
      <c r="N1459" s="98"/>
      <c r="O1459" s="98"/>
    </row>
    <row r="1460" spans="1:15" ht="15" customHeight="1">
      <c r="A1460" s="21"/>
      <c r="B1460" s="21"/>
      <c r="C1460" s="95"/>
      <c r="D1460" s="95"/>
      <c r="E1460" s="95"/>
      <c r="F1460" s="95"/>
      <c r="G1460" s="95"/>
      <c r="H1460" s="95"/>
      <c r="I1460" s="95"/>
      <c r="J1460" s="95"/>
      <c r="K1460" s="95"/>
      <c r="L1460" s="7"/>
      <c r="M1460" s="7"/>
      <c r="N1460" s="98"/>
      <c r="O1460" s="98"/>
    </row>
    <row r="1461" spans="1:15" ht="15" customHeight="1">
      <c r="A1461" s="21"/>
      <c r="B1461" s="21"/>
      <c r="C1461" s="95"/>
      <c r="D1461" s="95"/>
      <c r="E1461" s="95"/>
      <c r="F1461" s="95"/>
      <c r="G1461" s="95"/>
      <c r="H1461" s="95"/>
      <c r="I1461" s="95"/>
      <c r="J1461" s="95"/>
      <c r="K1461" s="95"/>
      <c r="L1461" s="7"/>
      <c r="M1461" s="7"/>
      <c r="N1461" s="98"/>
      <c r="O1461" s="98"/>
    </row>
    <row r="1462" spans="1:15" ht="15" customHeight="1">
      <c r="A1462" s="21"/>
      <c r="B1462" s="21"/>
      <c r="C1462" s="95"/>
      <c r="D1462" s="95"/>
      <c r="E1462" s="95"/>
      <c r="F1462" s="95"/>
      <c r="G1462" s="95"/>
      <c r="H1462" s="95"/>
      <c r="I1462" s="95"/>
      <c r="J1462" s="95"/>
      <c r="K1462" s="95"/>
      <c r="L1462" s="7"/>
      <c r="M1462" s="7"/>
      <c r="N1462" s="98"/>
      <c r="O1462" s="98"/>
    </row>
    <row r="1463" spans="1:15" ht="15" customHeight="1">
      <c r="A1463" s="21"/>
      <c r="B1463" s="21"/>
      <c r="C1463" s="95"/>
      <c r="D1463" s="95"/>
      <c r="E1463" s="95"/>
      <c r="F1463" s="95"/>
      <c r="G1463" s="95"/>
      <c r="H1463" s="95"/>
      <c r="I1463" s="95"/>
      <c r="J1463" s="95"/>
      <c r="K1463" s="95"/>
      <c r="L1463" s="7"/>
      <c r="M1463" s="7"/>
      <c r="N1463" s="98"/>
      <c r="O1463" s="98"/>
    </row>
    <row r="1464" spans="1:15" ht="15" customHeight="1">
      <c r="A1464" s="21"/>
      <c r="B1464" s="21"/>
      <c r="C1464" s="95"/>
      <c r="D1464" s="95"/>
      <c r="E1464" s="95"/>
      <c r="F1464" s="95"/>
      <c r="G1464" s="95"/>
      <c r="H1464" s="95"/>
      <c r="I1464" s="95"/>
      <c r="J1464" s="95"/>
      <c r="K1464" s="95"/>
      <c r="L1464" s="7"/>
      <c r="M1464" s="7"/>
      <c r="N1464" s="98"/>
      <c r="O1464" s="98"/>
    </row>
    <row r="1465" spans="1:15" ht="15" customHeight="1">
      <c r="A1465" s="21"/>
      <c r="B1465" s="21"/>
      <c r="C1465" s="95"/>
      <c r="D1465" s="95"/>
      <c r="E1465" s="95"/>
      <c r="F1465" s="95"/>
      <c r="G1465" s="95"/>
      <c r="H1465" s="95"/>
      <c r="I1465" s="95"/>
      <c r="J1465" s="95"/>
      <c r="K1465" s="95"/>
      <c r="L1465" s="7"/>
      <c r="M1465" s="7"/>
      <c r="N1465" s="98"/>
      <c r="O1465" s="98"/>
    </row>
    <row r="1466" spans="1:15" ht="15" customHeight="1">
      <c r="A1466" s="21"/>
      <c r="B1466" s="21"/>
      <c r="C1466" s="95"/>
      <c r="D1466" s="95"/>
      <c r="E1466" s="95"/>
      <c r="F1466" s="95"/>
      <c r="G1466" s="95"/>
      <c r="H1466" s="95"/>
      <c r="I1466" s="95"/>
      <c r="J1466" s="95"/>
      <c r="K1466" s="95"/>
      <c r="L1466" s="7"/>
      <c r="M1466" s="7"/>
      <c r="N1466" s="98"/>
      <c r="O1466" s="98"/>
    </row>
    <row r="1467" spans="1:15" ht="15" customHeight="1">
      <c r="A1467" s="21"/>
      <c r="B1467" s="21"/>
      <c r="C1467" s="95"/>
      <c r="D1467" s="95"/>
      <c r="E1467" s="95"/>
      <c r="F1467" s="95"/>
      <c r="G1467" s="95"/>
      <c r="H1467" s="95"/>
      <c r="I1467" s="95"/>
      <c r="J1467" s="95"/>
      <c r="K1467" s="95"/>
      <c r="L1467" s="7"/>
      <c r="M1467" s="7"/>
      <c r="N1467" s="98"/>
      <c r="O1467" s="98"/>
    </row>
    <row r="1468" spans="1:15" ht="15" customHeight="1">
      <c r="A1468" s="21"/>
      <c r="B1468" s="21"/>
      <c r="C1468" s="95"/>
      <c r="D1468" s="95"/>
      <c r="E1468" s="95"/>
      <c r="F1468" s="95"/>
      <c r="G1468" s="95"/>
      <c r="H1468" s="95"/>
      <c r="I1468" s="95"/>
      <c r="J1468" s="95"/>
      <c r="K1468" s="95"/>
      <c r="L1468" s="7"/>
      <c r="M1468" s="7"/>
      <c r="N1468" s="98"/>
      <c r="O1468" s="98"/>
    </row>
    <row r="1469" spans="1:15" ht="15" customHeight="1">
      <c r="A1469" s="21"/>
      <c r="B1469" s="21"/>
      <c r="C1469" s="95"/>
      <c r="D1469" s="95"/>
      <c r="E1469" s="95"/>
      <c r="F1469" s="95"/>
      <c r="G1469" s="95"/>
      <c r="H1469" s="95"/>
      <c r="I1469" s="95"/>
      <c r="J1469" s="95"/>
      <c r="K1469" s="95"/>
      <c r="L1469" s="7"/>
      <c r="M1469" s="7"/>
      <c r="N1469" s="98"/>
      <c r="O1469" s="98"/>
    </row>
    <row r="1470" spans="1:15" ht="15" customHeight="1">
      <c r="A1470" s="21"/>
      <c r="B1470" s="21"/>
      <c r="C1470" s="95"/>
      <c r="D1470" s="95"/>
      <c r="E1470" s="95"/>
      <c r="F1470" s="95"/>
      <c r="G1470" s="95"/>
      <c r="H1470" s="95"/>
      <c r="I1470" s="95"/>
      <c r="J1470" s="95"/>
      <c r="K1470" s="95"/>
      <c r="L1470" s="7"/>
      <c r="M1470" s="7"/>
      <c r="N1470" s="98"/>
      <c r="O1470" s="98"/>
    </row>
    <row r="1471" spans="1:15" ht="15" customHeight="1">
      <c r="A1471" s="21"/>
      <c r="B1471" s="21"/>
      <c r="C1471" s="95"/>
      <c r="D1471" s="95"/>
      <c r="E1471" s="95"/>
      <c r="F1471" s="95"/>
      <c r="G1471" s="95"/>
      <c r="H1471" s="95"/>
      <c r="I1471" s="95"/>
      <c r="J1471" s="95"/>
      <c r="K1471" s="95"/>
      <c r="L1471" s="7"/>
      <c r="M1471" s="7"/>
      <c r="N1471" s="98"/>
      <c r="O1471" s="98"/>
    </row>
    <row r="1472" spans="1:11" ht="15" customHeight="1">
      <c r="A1472" s="21"/>
      <c r="B1472" s="21"/>
      <c r="C1472" s="95"/>
      <c r="D1472" s="95"/>
      <c r="E1472" s="95"/>
      <c r="F1472" s="95"/>
      <c r="G1472" s="95"/>
      <c r="H1472" s="95"/>
      <c r="I1472" s="95"/>
      <c r="J1472" s="95"/>
      <c r="K1472" s="95"/>
    </row>
    <row r="1473" spans="1:11" ht="15" customHeight="1">
      <c r="A1473" s="21"/>
      <c r="B1473" s="21"/>
      <c r="C1473" s="95"/>
      <c r="D1473" s="95"/>
      <c r="E1473" s="95"/>
      <c r="F1473" s="95"/>
      <c r="G1473" s="95"/>
      <c r="H1473" s="95"/>
      <c r="I1473" s="95"/>
      <c r="J1473" s="95"/>
      <c r="K1473" s="95"/>
    </row>
    <row r="1474" spans="1:11" ht="15" customHeight="1">
      <c r="A1474" s="21"/>
      <c r="B1474" s="21"/>
      <c r="C1474" s="95"/>
      <c r="D1474" s="95"/>
      <c r="E1474" s="95"/>
      <c r="F1474" s="95"/>
      <c r="G1474" s="95"/>
      <c r="H1474" s="95"/>
      <c r="I1474" s="95"/>
      <c r="J1474" s="95"/>
      <c r="K1474" s="95"/>
    </row>
    <row r="1475" spans="1:11" ht="15" customHeight="1">
      <c r="A1475" s="21"/>
      <c r="B1475" s="21"/>
      <c r="C1475" s="95"/>
      <c r="D1475" s="95"/>
      <c r="E1475" s="95"/>
      <c r="F1475" s="95"/>
      <c r="G1475" s="95"/>
      <c r="H1475" s="95"/>
      <c r="I1475" s="95"/>
      <c r="J1475" s="95"/>
      <c r="K1475" s="95"/>
    </row>
    <row r="1476" spans="1:11" ht="15" customHeight="1">
      <c r="A1476" s="3"/>
      <c r="B1476" s="21"/>
      <c r="C1476" s="95"/>
      <c r="D1476" s="95"/>
      <c r="E1476" s="95"/>
      <c r="F1476" s="95"/>
      <c r="G1476" s="95"/>
      <c r="H1476" s="95"/>
      <c r="I1476" s="95"/>
      <c r="J1476" s="95"/>
      <c r="K1476" s="95"/>
    </row>
    <row r="1477" spans="1:11" ht="15" customHeight="1">
      <c r="A1477" s="3"/>
      <c r="B1477" s="21"/>
      <c r="C1477" s="95"/>
      <c r="D1477" s="95"/>
      <c r="E1477" s="95"/>
      <c r="F1477" s="95"/>
      <c r="G1477" s="95"/>
      <c r="H1477" s="95"/>
      <c r="I1477" s="95"/>
      <c r="J1477" s="95"/>
      <c r="K1477" s="95"/>
    </row>
    <row r="1478" spans="1:11" ht="15" customHeight="1">
      <c r="A1478" s="3"/>
      <c r="B1478" s="21"/>
      <c r="C1478" s="95"/>
      <c r="D1478" s="95"/>
      <c r="E1478" s="95"/>
      <c r="F1478" s="95"/>
      <c r="G1478" s="95"/>
      <c r="H1478" s="95"/>
      <c r="I1478" s="95"/>
      <c r="J1478" s="95"/>
      <c r="K1478" s="95"/>
    </row>
    <row r="1479" spans="1:11" ht="15" customHeight="1">
      <c r="A1479" s="3"/>
      <c r="B1479" s="21"/>
      <c r="C1479" s="95"/>
      <c r="D1479" s="95"/>
      <c r="E1479" s="95"/>
      <c r="F1479" s="95"/>
      <c r="G1479" s="95"/>
      <c r="H1479" s="95"/>
      <c r="I1479" s="95"/>
      <c r="J1479" s="95"/>
      <c r="K1479" s="95"/>
    </row>
  </sheetData>
  <sheetProtection/>
  <mergeCells count="2080">
    <mergeCell ref="A1330:B1330"/>
    <mergeCell ref="A1320:B1320"/>
    <mergeCell ref="A1340:B1340"/>
    <mergeCell ref="A1350:B1350"/>
    <mergeCell ref="A991:B991"/>
    <mergeCell ref="A992:B992"/>
    <mergeCell ref="A995:B995"/>
    <mergeCell ref="A996:B996"/>
    <mergeCell ref="A1181:B1181"/>
    <mergeCell ref="A1182:B1182"/>
    <mergeCell ref="A1180:B1180"/>
    <mergeCell ref="L991:L997"/>
    <mergeCell ref="L1262:L1268"/>
    <mergeCell ref="L1255:L1261"/>
    <mergeCell ref="M991:M997"/>
    <mergeCell ref="N991:N997"/>
    <mergeCell ref="L1239:L1245"/>
    <mergeCell ref="L1246:L1252"/>
    <mergeCell ref="N1239:N1245"/>
    <mergeCell ref="L1225:L1231"/>
    <mergeCell ref="A988:B988"/>
    <mergeCell ref="O991:O997"/>
    <mergeCell ref="A1283:B1283"/>
    <mergeCell ref="A1290:B1290"/>
    <mergeCell ref="A1297:B1297"/>
    <mergeCell ref="A993:B993"/>
    <mergeCell ref="A994:B994"/>
    <mergeCell ref="A997:B997"/>
    <mergeCell ref="A1178:B1178"/>
    <mergeCell ref="A1179:B1179"/>
    <mergeCell ref="N984:N990"/>
    <mergeCell ref="A979:B979"/>
    <mergeCell ref="A980:B980"/>
    <mergeCell ref="A981:B981"/>
    <mergeCell ref="L984:L990"/>
    <mergeCell ref="A982:B982"/>
    <mergeCell ref="A990:B990"/>
    <mergeCell ref="A983:B983"/>
    <mergeCell ref="L977:L983"/>
    <mergeCell ref="A987:B987"/>
    <mergeCell ref="M1184:M1190"/>
    <mergeCell ref="N1184:N1190"/>
    <mergeCell ref="O1184:O1190"/>
    <mergeCell ref="L1184:L1190"/>
    <mergeCell ref="L1177:L1183"/>
    <mergeCell ref="M1177:M1183"/>
    <mergeCell ref="N1177:N1183"/>
    <mergeCell ref="O1177:O1183"/>
    <mergeCell ref="A918:B918"/>
    <mergeCell ref="A629:B629"/>
    <mergeCell ref="A642:B642"/>
    <mergeCell ref="A640:B640"/>
    <mergeCell ref="A659:B659"/>
    <mergeCell ref="A655:B655"/>
    <mergeCell ref="A897:B897"/>
    <mergeCell ref="A670:B670"/>
    <mergeCell ref="A724:B724"/>
    <mergeCell ref="A674:B674"/>
    <mergeCell ref="A965:B965"/>
    <mergeCell ref="A984:B984"/>
    <mergeCell ref="A633:B633"/>
    <mergeCell ref="A682:B682"/>
    <mergeCell ref="A634:B634"/>
    <mergeCell ref="A637:G637"/>
    <mergeCell ref="A720:B720"/>
    <mergeCell ref="A977:B977"/>
    <mergeCell ref="A978:B978"/>
    <mergeCell ref="A688:B688"/>
    <mergeCell ref="A498:B498"/>
    <mergeCell ref="A484:B484"/>
    <mergeCell ref="A496:B496"/>
    <mergeCell ref="A486:B486"/>
    <mergeCell ref="A519:B519"/>
    <mergeCell ref="A505:B505"/>
    <mergeCell ref="A489:B489"/>
    <mergeCell ref="A515:B515"/>
    <mergeCell ref="A510:B510"/>
    <mergeCell ref="N464:N470"/>
    <mergeCell ref="M506:M512"/>
    <mergeCell ref="A512:B512"/>
    <mergeCell ref="A500:B500"/>
    <mergeCell ref="A501:B501"/>
    <mergeCell ref="A502:B502"/>
    <mergeCell ref="A503:B503"/>
    <mergeCell ref="A504:B504"/>
    <mergeCell ref="A465:B465"/>
    <mergeCell ref="A466:B466"/>
    <mergeCell ref="M1403:M1409"/>
    <mergeCell ref="M1396:M1402"/>
    <mergeCell ref="N1396:N1402"/>
    <mergeCell ref="O1396:O1402"/>
    <mergeCell ref="N1403:N1409"/>
    <mergeCell ref="O1403:O1409"/>
    <mergeCell ref="L1368:L1374"/>
    <mergeCell ref="O1375:O1381"/>
    <mergeCell ref="L1375:L1381"/>
    <mergeCell ref="M1375:M1381"/>
    <mergeCell ref="O1368:O1374"/>
    <mergeCell ref="N1375:N1381"/>
    <mergeCell ref="L1360:L1367"/>
    <mergeCell ref="M1360:M1367"/>
    <mergeCell ref="N1360:N1367"/>
    <mergeCell ref="O1360:O1367"/>
    <mergeCell ref="L1345:L1351"/>
    <mergeCell ref="L1352:L1359"/>
    <mergeCell ref="N1345:N1351"/>
    <mergeCell ref="O1308:O1314"/>
    <mergeCell ref="M1308:M1314"/>
    <mergeCell ref="N1308:N1314"/>
    <mergeCell ref="N1315:N1322"/>
    <mergeCell ref="M1368:M1374"/>
    <mergeCell ref="N1368:N1374"/>
    <mergeCell ref="M1352:M1359"/>
    <mergeCell ref="N1352:N1359"/>
    <mergeCell ref="O1352:O1359"/>
    <mergeCell ref="O1345:O1351"/>
    <mergeCell ref="O1262:O1268"/>
    <mergeCell ref="M1246:M1252"/>
    <mergeCell ref="M1269:M1275"/>
    <mergeCell ref="N1269:N1275"/>
    <mergeCell ref="O1269:O1275"/>
    <mergeCell ref="M1262:M1268"/>
    <mergeCell ref="M1255:M1261"/>
    <mergeCell ref="N1255:N1261"/>
    <mergeCell ref="O1255:O1261"/>
    <mergeCell ref="N1262:N1268"/>
    <mergeCell ref="O1239:O1245"/>
    <mergeCell ref="N1246:N1252"/>
    <mergeCell ref="M1232:M1238"/>
    <mergeCell ref="N1232:N1238"/>
    <mergeCell ref="O1246:O1252"/>
    <mergeCell ref="M1239:M1245"/>
    <mergeCell ref="L1232:L1238"/>
    <mergeCell ref="M1225:M1231"/>
    <mergeCell ref="N1225:N1231"/>
    <mergeCell ref="O1232:O1238"/>
    <mergeCell ref="O1225:O1231"/>
    <mergeCell ref="L1218:L1224"/>
    <mergeCell ref="N1211:N1217"/>
    <mergeCell ref="O1211:O1217"/>
    <mergeCell ref="L1211:L1217"/>
    <mergeCell ref="M1218:M1224"/>
    <mergeCell ref="N1218:N1224"/>
    <mergeCell ref="M1211:M1217"/>
    <mergeCell ref="O1218:O1224"/>
    <mergeCell ref="O1112:O1118"/>
    <mergeCell ref="M1103:M1111"/>
    <mergeCell ref="O1103:O1111"/>
    <mergeCell ref="O1126:O1132"/>
    <mergeCell ref="O1119:O1125"/>
    <mergeCell ref="L1163:L1169"/>
    <mergeCell ref="N1156:N1162"/>
    <mergeCell ref="O1156:O1162"/>
    <mergeCell ref="M1133:M1139"/>
    <mergeCell ref="M1156:M1162"/>
    <mergeCell ref="N1020:N1026"/>
    <mergeCell ref="O1020:O1026"/>
    <mergeCell ref="N963:N969"/>
    <mergeCell ref="N1027:N1033"/>
    <mergeCell ref="O1027:O1033"/>
    <mergeCell ref="M977:M983"/>
    <mergeCell ref="N977:N983"/>
    <mergeCell ref="O977:O983"/>
    <mergeCell ref="M984:M990"/>
    <mergeCell ref="O984:O990"/>
    <mergeCell ref="O949:O955"/>
    <mergeCell ref="L956:L962"/>
    <mergeCell ref="N956:N962"/>
    <mergeCell ref="O956:O962"/>
    <mergeCell ref="O963:O969"/>
    <mergeCell ref="L963:L969"/>
    <mergeCell ref="M963:M969"/>
    <mergeCell ref="L949:L955"/>
    <mergeCell ref="N949:N955"/>
    <mergeCell ref="M949:M955"/>
    <mergeCell ref="O884:O890"/>
    <mergeCell ref="L863:L869"/>
    <mergeCell ref="L870:L876"/>
    <mergeCell ref="O891:O897"/>
    <mergeCell ref="L849:L855"/>
    <mergeCell ref="N856:N862"/>
    <mergeCell ref="M856:M862"/>
    <mergeCell ref="L856:L862"/>
    <mergeCell ref="N849:N855"/>
    <mergeCell ref="M849:M855"/>
    <mergeCell ref="O856:O862"/>
    <mergeCell ref="O877:O883"/>
    <mergeCell ref="O870:O876"/>
    <mergeCell ref="O863:O869"/>
    <mergeCell ref="N863:N869"/>
    <mergeCell ref="A867:B867"/>
    <mergeCell ref="N870:N876"/>
    <mergeCell ref="A882:B882"/>
    <mergeCell ref="A878:B878"/>
    <mergeCell ref="A868:B868"/>
    <mergeCell ref="L884:L890"/>
    <mergeCell ref="M884:M890"/>
    <mergeCell ref="N912:N918"/>
    <mergeCell ref="M863:M869"/>
    <mergeCell ref="N926:N932"/>
    <mergeCell ref="M926:M932"/>
    <mergeCell ref="M905:M911"/>
    <mergeCell ref="N898:N904"/>
    <mergeCell ref="M870:M876"/>
    <mergeCell ref="N877:N883"/>
    <mergeCell ref="M912:M918"/>
    <mergeCell ref="M891:M897"/>
    <mergeCell ref="N884:N890"/>
    <mergeCell ref="N891:N897"/>
    <mergeCell ref="M919:M925"/>
    <mergeCell ref="N919:N925"/>
    <mergeCell ref="N905:N911"/>
    <mergeCell ref="M898:M904"/>
    <mergeCell ref="A758:B758"/>
    <mergeCell ref="A649:B649"/>
    <mergeCell ref="A701:B701"/>
    <mergeCell ref="A660:B660"/>
    <mergeCell ref="A661:B661"/>
    <mergeCell ref="A653:B653"/>
    <mergeCell ref="A654:B654"/>
    <mergeCell ref="A703:B703"/>
    <mergeCell ref="A723:B723"/>
    <mergeCell ref="A680:B680"/>
    <mergeCell ref="A685:B685"/>
    <mergeCell ref="A699:B699"/>
    <mergeCell ref="A698:B698"/>
    <mergeCell ref="A713:B713"/>
    <mergeCell ref="A725:B725"/>
    <mergeCell ref="A690:G690"/>
    <mergeCell ref="A716:B716"/>
    <mergeCell ref="A697:F697"/>
    <mergeCell ref="A692:B692"/>
    <mergeCell ref="A711:B711"/>
    <mergeCell ref="A731:B731"/>
    <mergeCell ref="A735:B735"/>
    <mergeCell ref="A739:B739"/>
    <mergeCell ref="A734:B734"/>
    <mergeCell ref="A726:B726"/>
    <mergeCell ref="A729:B729"/>
    <mergeCell ref="A728:B728"/>
    <mergeCell ref="A737:B737"/>
    <mergeCell ref="A684:B684"/>
    <mergeCell ref="A678:B678"/>
    <mergeCell ref="A845:B845"/>
    <mergeCell ref="A679:B679"/>
    <mergeCell ref="A754:B754"/>
    <mergeCell ref="A745:B745"/>
    <mergeCell ref="A743:B743"/>
    <mergeCell ref="A727:B727"/>
    <mergeCell ref="A721:B721"/>
    <mergeCell ref="A738:B738"/>
    <mergeCell ref="A760:B760"/>
    <mergeCell ref="A762:B762"/>
    <mergeCell ref="A791:B791"/>
    <mergeCell ref="A781:B781"/>
    <mergeCell ref="A816:B816"/>
    <mergeCell ref="A796:B796"/>
    <mergeCell ref="A798:B798"/>
    <mergeCell ref="A797:B797"/>
    <mergeCell ref="A813:B813"/>
    <mergeCell ref="A807:B807"/>
    <mergeCell ref="M835:M841"/>
    <mergeCell ref="A835:B835"/>
    <mergeCell ref="A819:B819"/>
    <mergeCell ref="A841:B841"/>
    <mergeCell ref="A795:B795"/>
    <mergeCell ref="A824:B824"/>
    <mergeCell ref="A822:B822"/>
    <mergeCell ref="A810:B810"/>
    <mergeCell ref="M821:M827"/>
    <mergeCell ref="A814:B814"/>
    <mergeCell ref="A854:B854"/>
    <mergeCell ref="A800:B800"/>
    <mergeCell ref="A805:B805"/>
    <mergeCell ref="M828:M834"/>
    <mergeCell ref="A859:B859"/>
    <mergeCell ref="L828:L834"/>
    <mergeCell ref="L821:L827"/>
    <mergeCell ref="M806:M812"/>
    <mergeCell ref="A836:B836"/>
    <mergeCell ref="A817:B817"/>
    <mergeCell ref="O771:O777"/>
    <mergeCell ref="N778:N784"/>
    <mergeCell ref="M771:M777"/>
    <mergeCell ref="O785:O791"/>
    <mergeCell ref="A812:B812"/>
    <mergeCell ref="A809:B809"/>
    <mergeCell ref="A811:B811"/>
    <mergeCell ref="A804:B804"/>
    <mergeCell ref="A776:B776"/>
    <mergeCell ref="L799:L805"/>
    <mergeCell ref="A759:B759"/>
    <mergeCell ref="A702:B702"/>
    <mergeCell ref="A707:B707"/>
    <mergeCell ref="A708:B708"/>
    <mergeCell ref="O778:O784"/>
    <mergeCell ref="A709:B709"/>
    <mergeCell ref="A761:B761"/>
    <mergeCell ref="A784:B784"/>
    <mergeCell ref="L778:L784"/>
    <mergeCell ref="A769:B769"/>
    <mergeCell ref="A815:B815"/>
    <mergeCell ref="N771:N777"/>
    <mergeCell ref="M813:M819"/>
    <mergeCell ref="N813:N819"/>
    <mergeCell ref="L806:L812"/>
    <mergeCell ref="O813:O819"/>
    <mergeCell ref="L813:L819"/>
    <mergeCell ref="A808:B808"/>
    <mergeCell ref="A803:B803"/>
    <mergeCell ref="A818:B818"/>
    <mergeCell ref="M956:M962"/>
    <mergeCell ref="A1023:B1023"/>
    <mergeCell ref="A848:B848"/>
    <mergeCell ref="A862:B862"/>
    <mergeCell ref="A853:B853"/>
    <mergeCell ref="M877:M883"/>
    <mergeCell ref="A960:B960"/>
    <mergeCell ref="A899:B899"/>
    <mergeCell ref="A898:B898"/>
    <mergeCell ref="L898:L904"/>
    <mergeCell ref="L835:L841"/>
    <mergeCell ref="N835:N841"/>
    <mergeCell ref="L842:L848"/>
    <mergeCell ref="A921:B921"/>
    <mergeCell ref="A832:B832"/>
    <mergeCell ref="A846:B846"/>
    <mergeCell ref="A916:B916"/>
    <mergeCell ref="A838:B838"/>
    <mergeCell ref="A860:B860"/>
    <mergeCell ref="A847:B847"/>
    <mergeCell ref="A928:B928"/>
    <mergeCell ref="A939:B939"/>
    <mergeCell ref="A936:B936"/>
    <mergeCell ref="A907:B907"/>
    <mergeCell ref="A895:B895"/>
    <mergeCell ref="A886:B886"/>
    <mergeCell ref="A902:B902"/>
    <mergeCell ref="A896:B896"/>
    <mergeCell ref="A889:B889"/>
    <mergeCell ref="A929:B929"/>
    <mergeCell ref="A1035:B1035"/>
    <mergeCell ref="A1033:B1033"/>
    <mergeCell ref="A1036:B1036"/>
    <mergeCell ref="A1030:B1030"/>
    <mergeCell ref="A1025:B1025"/>
    <mergeCell ref="A1026:B1026"/>
    <mergeCell ref="A1024:B1024"/>
    <mergeCell ref="A1034:B1034"/>
    <mergeCell ref="A976:B976"/>
    <mergeCell ref="A1050:B1050"/>
    <mergeCell ref="A1064:B1064"/>
    <mergeCell ref="A1045:B1045"/>
    <mergeCell ref="A1040:B1040"/>
    <mergeCell ref="A1039:B1039"/>
    <mergeCell ref="A1042:B1042"/>
    <mergeCell ref="A1043:B1043"/>
    <mergeCell ref="A1052:B1052"/>
    <mergeCell ref="A937:B937"/>
    <mergeCell ref="A938:B938"/>
    <mergeCell ref="A931:B931"/>
    <mergeCell ref="A1029:B1029"/>
    <mergeCell ref="A1038:B1038"/>
    <mergeCell ref="A1041:B1041"/>
    <mergeCell ref="A1022:B1022"/>
    <mergeCell ref="A986:B986"/>
    <mergeCell ref="A1031:B1031"/>
    <mergeCell ref="A1370:B1370"/>
    <mergeCell ref="A1351:B1351"/>
    <mergeCell ref="A1349:B1349"/>
    <mergeCell ref="A1374:B1374"/>
    <mergeCell ref="A1353:B1353"/>
    <mergeCell ref="A1365:B1365"/>
    <mergeCell ref="A1368:B1368"/>
    <mergeCell ref="A1360:B1360"/>
    <mergeCell ref="A1352:B1352"/>
    <mergeCell ref="A1406:B1406"/>
    <mergeCell ref="A1403:B1403"/>
    <mergeCell ref="A1378:B1378"/>
    <mergeCell ref="A1373:B1373"/>
    <mergeCell ref="A1372:B1372"/>
    <mergeCell ref="A1396:B1396"/>
    <mergeCell ref="A1382:B1382"/>
    <mergeCell ref="A1387:B1387"/>
    <mergeCell ref="A1388:B1388"/>
    <mergeCell ref="A1381:B1381"/>
    <mergeCell ref="M1382:M1388"/>
    <mergeCell ref="A1389:B1389"/>
    <mergeCell ref="L1403:L1409"/>
    <mergeCell ref="A1405:B1405"/>
    <mergeCell ref="A1409:B1409"/>
    <mergeCell ref="A1408:B1408"/>
    <mergeCell ref="A1404:B1404"/>
    <mergeCell ref="A1393:B1393"/>
    <mergeCell ref="L1396:L1402"/>
    <mergeCell ref="A1407:B1407"/>
    <mergeCell ref="O1382:O1388"/>
    <mergeCell ref="O1389:O1395"/>
    <mergeCell ref="A1383:B1383"/>
    <mergeCell ref="A1385:B1385"/>
    <mergeCell ref="A1384:B1384"/>
    <mergeCell ref="N1389:N1395"/>
    <mergeCell ref="N1382:N1388"/>
    <mergeCell ref="M1389:M1395"/>
    <mergeCell ref="A1390:B1390"/>
    <mergeCell ref="L1389:L1395"/>
    <mergeCell ref="L1382:L1388"/>
    <mergeCell ref="A1399:B1399"/>
    <mergeCell ref="A1395:B1395"/>
    <mergeCell ref="A1392:B1392"/>
    <mergeCell ref="A1391:B1391"/>
    <mergeCell ref="A1398:B1398"/>
    <mergeCell ref="A1397:B1397"/>
    <mergeCell ref="A1394:B1394"/>
    <mergeCell ref="A1386:B1386"/>
    <mergeCell ref="A1402:B1402"/>
    <mergeCell ref="A1400:B1400"/>
    <mergeCell ref="A1401:B1401"/>
    <mergeCell ref="A1341:B1341"/>
    <mergeCell ref="A1366:B1366"/>
    <mergeCell ref="A1363:B1363"/>
    <mergeCell ref="A1362:B1362"/>
    <mergeCell ref="A1355:B1355"/>
    <mergeCell ref="A1356:B1356"/>
    <mergeCell ref="A1361:B1361"/>
    <mergeCell ref="A1345:B1345"/>
    <mergeCell ref="A1369:B1369"/>
    <mergeCell ref="A1371:B1371"/>
    <mergeCell ref="A1377:B1377"/>
    <mergeCell ref="A1364:B1364"/>
    <mergeCell ref="A1380:B1380"/>
    <mergeCell ref="A1354:B1354"/>
    <mergeCell ref="A1375:B1375"/>
    <mergeCell ref="A1376:B1376"/>
    <mergeCell ref="A1379:B1379"/>
    <mergeCell ref="O1338:O1344"/>
    <mergeCell ref="N1338:N1344"/>
    <mergeCell ref="A1358:B1358"/>
    <mergeCell ref="A1357:B1357"/>
    <mergeCell ref="A1347:B1347"/>
    <mergeCell ref="A1348:B1348"/>
    <mergeCell ref="A1346:B1346"/>
    <mergeCell ref="M1345:M1351"/>
    <mergeCell ref="A1342:B1342"/>
    <mergeCell ref="A1344:B1344"/>
    <mergeCell ref="M1324:M1330"/>
    <mergeCell ref="M1331:M1337"/>
    <mergeCell ref="N1331:N1337"/>
    <mergeCell ref="N1324:N1330"/>
    <mergeCell ref="L1324:L1330"/>
    <mergeCell ref="A1338:B1338"/>
    <mergeCell ref="L1338:L1344"/>
    <mergeCell ref="A1343:B1343"/>
    <mergeCell ref="M1338:M1344"/>
    <mergeCell ref="A1339:B1339"/>
    <mergeCell ref="O1331:O1337"/>
    <mergeCell ref="O1324:O1330"/>
    <mergeCell ref="A1336:B1336"/>
    <mergeCell ref="A1335:B1335"/>
    <mergeCell ref="A1333:B1333"/>
    <mergeCell ref="A1332:B1332"/>
    <mergeCell ref="L1331:L1337"/>
    <mergeCell ref="A1334:B1334"/>
    <mergeCell ref="A1331:B1331"/>
    <mergeCell ref="A1337:B1337"/>
    <mergeCell ref="O1315:O1322"/>
    <mergeCell ref="M1315:M1322"/>
    <mergeCell ref="L1315:L1322"/>
    <mergeCell ref="A1327:B1327"/>
    <mergeCell ref="A1329:B1329"/>
    <mergeCell ref="A1325:B1325"/>
    <mergeCell ref="A1326:B1326"/>
    <mergeCell ref="A1316:B1316"/>
    <mergeCell ref="A1323:B1323"/>
    <mergeCell ref="A1318:B1318"/>
    <mergeCell ref="A1317:B1317"/>
    <mergeCell ref="A1328:B1328"/>
    <mergeCell ref="A1321:B1321"/>
    <mergeCell ref="A1306:B1306"/>
    <mergeCell ref="A1307:B1307"/>
    <mergeCell ref="A1322:B1322"/>
    <mergeCell ref="A1319:B1319"/>
    <mergeCell ref="A1314:B1314"/>
    <mergeCell ref="A1315:B1315"/>
    <mergeCell ref="O1297:O1307"/>
    <mergeCell ref="A1312:B1312"/>
    <mergeCell ref="A1313:B1313"/>
    <mergeCell ref="L1308:L1314"/>
    <mergeCell ref="A1301:B1301"/>
    <mergeCell ref="A1302:B1302"/>
    <mergeCell ref="A1304:B1304"/>
    <mergeCell ref="A1309:B1309"/>
    <mergeCell ref="L1297:L1307"/>
    <mergeCell ref="A1305:B1305"/>
    <mergeCell ref="A1298:B1298"/>
    <mergeCell ref="A1295:B1295"/>
    <mergeCell ref="A1310:B1310"/>
    <mergeCell ref="A1311:B1311"/>
    <mergeCell ref="A1291:B1291"/>
    <mergeCell ref="A1308:B1308"/>
    <mergeCell ref="A1300:B1300"/>
    <mergeCell ref="A1299:B1299"/>
    <mergeCell ref="A1293:B1293"/>
    <mergeCell ref="O1283:O1289"/>
    <mergeCell ref="A1294:B1294"/>
    <mergeCell ref="N1297:N1307"/>
    <mergeCell ref="A1296:B1296"/>
    <mergeCell ref="M1297:M1307"/>
    <mergeCell ref="A1289:B1289"/>
    <mergeCell ref="M1290:M1296"/>
    <mergeCell ref="N1290:N1296"/>
    <mergeCell ref="A1303:B1303"/>
    <mergeCell ref="A1292:B1292"/>
    <mergeCell ref="L1290:L1296"/>
    <mergeCell ref="A1287:B1287"/>
    <mergeCell ref="A1284:B1284"/>
    <mergeCell ref="A1285:B1285"/>
    <mergeCell ref="A1288:B1288"/>
    <mergeCell ref="O1290:O1296"/>
    <mergeCell ref="A1286:B1286"/>
    <mergeCell ref="N1283:N1289"/>
    <mergeCell ref="L1283:L1289"/>
    <mergeCell ref="M1283:M1289"/>
    <mergeCell ref="A1270:B1270"/>
    <mergeCell ref="M1276:M1282"/>
    <mergeCell ref="N1276:N1282"/>
    <mergeCell ref="O1276:O1282"/>
    <mergeCell ref="A1282:B1282"/>
    <mergeCell ref="A1281:B1281"/>
    <mergeCell ref="A1276:B1276"/>
    <mergeCell ref="A1268:B1268"/>
    <mergeCell ref="A1274:B1274"/>
    <mergeCell ref="A1275:B1275"/>
    <mergeCell ref="L1276:L1282"/>
    <mergeCell ref="A1277:B1277"/>
    <mergeCell ref="A1278:B1278"/>
    <mergeCell ref="A1279:B1279"/>
    <mergeCell ref="A1280:B1280"/>
    <mergeCell ref="L1269:L1275"/>
    <mergeCell ref="A1269:B1269"/>
    <mergeCell ref="A1260:B1260"/>
    <mergeCell ref="A1261:B1261"/>
    <mergeCell ref="A1271:B1271"/>
    <mergeCell ref="A1272:B1272"/>
    <mergeCell ref="A1273:B1273"/>
    <mergeCell ref="A1263:B1263"/>
    <mergeCell ref="A1264:B1264"/>
    <mergeCell ref="A1265:B1265"/>
    <mergeCell ref="A1266:B1266"/>
    <mergeCell ref="A1267:B1267"/>
    <mergeCell ref="A1254:B1254"/>
    <mergeCell ref="A1255:B1255"/>
    <mergeCell ref="A1256:B1256"/>
    <mergeCell ref="A1257:B1257"/>
    <mergeCell ref="A1258:B1258"/>
    <mergeCell ref="A1259:B1259"/>
    <mergeCell ref="A1243:B1243"/>
    <mergeCell ref="A1244:B1244"/>
    <mergeCell ref="A1262:B1262"/>
    <mergeCell ref="A1247:B1247"/>
    <mergeCell ref="A1248:B1248"/>
    <mergeCell ref="A1249:B1249"/>
    <mergeCell ref="A1250:B1250"/>
    <mergeCell ref="A1251:B1251"/>
    <mergeCell ref="A1252:B1252"/>
    <mergeCell ref="A1253:B1253"/>
    <mergeCell ref="A1245:B1245"/>
    <mergeCell ref="A1239:B1239"/>
    <mergeCell ref="A1246:B1246"/>
    <mergeCell ref="A1234:B1234"/>
    <mergeCell ref="A1235:B1235"/>
    <mergeCell ref="A1236:B1236"/>
    <mergeCell ref="A1237:B1237"/>
    <mergeCell ref="A1240:B1240"/>
    <mergeCell ref="A1241:B1241"/>
    <mergeCell ref="A1242:B1242"/>
    <mergeCell ref="A1233:B1233"/>
    <mergeCell ref="A1238:B1238"/>
    <mergeCell ref="A1217:B1217"/>
    <mergeCell ref="A1230:B1230"/>
    <mergeCell ref="A1231:B1231"/>
    <mergeCell ref="A1224:B1224"/>
    <mergeCell ref="A1226:B1226"/>
    <mergeCell ref="A1227:B1227"/>
    <mergeCell ref="A1228:B1228"/>
    <mergeCell ref="A1229:B1229"/>
    <mergeCell ref="A1220:B1220"/>
    <mergeCell ref="A1215:B1215"/>
    <mergeCell ref="A1223:B1223"/>
    <mergeCell ref="A1219:B1219"/>
    <mergeCell ref="A1221:B1221"/>
    <mergeCell ref="A1225:B1225"/>
    <mergeCell ref="A1222:B1222"/>
    <mergeCell ref="A1216:B1216"/>
    <mergeCell ref="A1218:B1218"/>
    <mergeCell ref="A1184:B1184"/>
    <mergeCell ref="A1213:B1213"/>
    <mergeCell ref="A1214:B1214"/>
    <mergeCell ref="A1212:B1212"/>
    <mergeCell ref="A1205:B1205"/>
    <mergeCell ref="A1207:B1207"/>
    <mergeCell ref="A1204:B1204"/>
    <mergeCell ref="A1206:B1206"/>
    <mergeCell ref="A1211:B1211"/>
    <mergeCell ref="A1199:B1199"/>
    <mergeCell ref="A1188:B1188"/>
    <mergeCell ref="A1185:B1185"/>
    <mergeCell ref="O1201:O1210"/>
    <mergeCell ref="L1201:L1210"/>
    <mergeCell ref="M1201:M1210"/>
    <mergeCell ref="N1201:N1210"/>
    <mergeCell ref="A1209:B1209"/>
    <mergeCell ref="A1202:B1202"/>
    <mergeCell ref="A1203:B1203"/>
    <mergeCell ref="A1201:B1201"/>
    <mergeCell ref="N1163:N1169"/>
    <mergeCell ref="A1171:B1171"/>
    <mergeCell ref="L1170:L1176"/>
    <mergeCell ref="A1208:B1208"/>
    <mergeCell ref="A1210:B1210"/>
    <mergeCell ref="A1198:B1198"/>
    <mergeCell ref="A1183:B1183"/>
    <mergeCell ref="A1189:B1189"/>
    <mergeCell ref="A1186:B1186"/>
    <mergeCell ref="A1190:B1190"/>
    <mergeCell ref="A1156:B1156"/>
    <mergeCell ref="A1173:B1173"/>
    <mergeCell ref="A1174:B1174"/>
    <mergeCell ref="A1172:B1172"/>
    <mergeCell ref="A1166:B1166"/>
    <mergeCell ref="M1163:M1169"/>
    <mergeCell ref="A1165:B1165"/>
    <mergeCell ref="A1170:B1170"/>
    <mergeCell ref="L1156:L1162"/>
    <mergeCell ref="O1163:O1169"/>
    <mergeCell ref="M1170:M1176"/>
    <mergeCell ref="N1170:N1176"/>
    <mergeCell ref="O1170:O1176"/>
    <mergeCell ref="A1176:B1176"/>
    <mergeCell ref="A1187:B1187"/>
    <mergeCell ref="A1169:B1169"/>
    <mergeCell ref="A1168:B1168"/>
    <mergeCell ref="A1177:B1177"/>
    <mergeCell ref="A1163:B1163"/>
    <mergeCell ref="A1175:B1175"/>
    <mergeCell ref="A1167:B1167"/>
    <mergeCell ref="A1160:B1160"/>
    <mergeCell ref="A1157:B1157"/>
    <mergeCell ref="A1159:B1159"/>
    <mergeCell ref="A1164:B1164"/>
    <mergeCell ref="A1161:B1161"/>
    <mergeCell ref="A1162:B1162"/>
    <mergeCell ref="A1158:B1158"/>
    <mergeCell ref="O1133:O1139"/>
    <mergeCell ref="A1144:B1144"/>
    <mergeCell ref="A1146:B1146"/>
    <mergeCell ref="M1149:M1155"/>
    <mergeCell ref="O1149:O1155"/>
    <mergeCell ref="A1138:B1138"/>
    <mergeCell ref="A1152:B1152"/>
    <mergeCell ref="A1153:B1153"/>
    <mergeCell ref="N1140:N1148"/>
    <mergeCell ref="N1149:N1155"/>
    <mergeCell ref="A1151:B1151"/>
    <mergeCell ref="L1149:L1155"/>
    <mergeCell ref="A1150:B1150"/>
    <mergeCell ref="A1155:B1155"/>
    <mergeCell ref="A1145:B1145"/>
    <mergeCell ref="O1140:O1148"/>
    <mergeCell ref="A1154:B1154"/>
    <mergeCell ref="A1142:B1142"/>
    <mergeCell ref="A1143:B1143"/>
    <mergeCell ref="A1140:B1140"/>
    <mergeCell ref="N1133:N1139"/>
    <mergeCell ref="O1096:O1102"/>
    <mergeCell ref="A1135:B1135"/>
    <mergeCell ref="A1132:B1132"/>
    <mergeCell ref="A1105:B1105"/>
    <mergeCell ref="A1119:B1119"/>
    <mergeCell ref="A1139:B1139"/>
    <mergeCell ref="M1126:M1132"/>
    <mergeCell ref="A1126:B1126"/>
    <mergeCell ref="L1119:L1125"/>
    <mergeCell ref="M1140:M1148"/>
    <mergeCell ref="L1140:L1148"/>
    <mergeCell ref="A1147:B1147"/>
    <mergeCell ref="A1148:B1148"/>
    <mergeCell ref="A1133:B1133"/>
    <mergeCell ref="N1103:N1111"/>
    <mergeCell ref="A1104:B1104"/>
    <mergeCell ref="A1114:B1114"/>
    <mergeCell ref="A1108:B1108"/>
    <mergeCell ref="A1113:B1113"/>
    <mergeCell ref="N1112:N1118"/>
    <mergeCell ref="A1121:B1121"/>
    <mergeCell ref="A1117:B1117"/>
    <mergeCell ref="M1112:M1118"/>
    <mergeCell ref="A1115:B1115"/>
    <mergeCell ref="A1122:B1122"/>
    <mergeCell ref="A1116:B1116"/>
    <mergeCell ref="A1118:B1118"/>
    <mergeCell ref="A1141:B1141"/>
    <mergeCell ref="A1137:B1137"/>
    <mergeCell ref="A1134:B1134"/>
    <mergeCell ref="A1136:B1136"/>
    <mergeCell ref="L1133:L1139"/>
    <mergeCell ref="A1127:B1127"/>
    <mergeCell ref="A1123:B1123"/>
    <mergeCell ref="N1126:N1132"/>
    <mergeCell ref="A1130:B1130"/>
    <mergeCell ref="A1128:B1128"/>
    <mergeCell ref="A1129:B1129"/>
    <mergeCell ref="L1126:L1132"/>
    <mergeCell ref="M1119:M1125"/>
    <mergeCell ref="N1119:N1125"/>
    <mergeCell ref="A1120:B1120"/>
    <mergeCell ref="A1099:B1099"/>
    <mergeCell ref="A1100:B1100"/>
    <mergeCell ref="A1200:B1200"/>
    <mergeCell ref="A1149:B1149"/>
    <mergeCell ref="A1109:B1109"/>
    <mergeCell ref="L1112:L1118"/>
    <mergeCell ref="A1131:B1131"/>
    <mergeCell ref="A1124:B1124"/>
    <mergeCell ref="A1125:B1125"/>
    <mergeCell ref="A1110:B1110"/>
    <mergeCell ref="A1096:B1096"/>
    <mergeCell ref="A1102:B1102"/>
    <mergeCell ref="O1089:O1095"/>
    <mergeCell ref="A1098:B1098"/>
    <mergeCell ref="A1095:B1095"/>
    <mergeCell ref="A1097:B1097"/>
    <mergeCell ref="M1089:M1095"/>
    <mergeCell ref="A1090:B1090"/>
    <mergeCell ref="N1096:N1102"/>
    <mergeCell ref="A1093:B1093"/>
    <mergeCell ref="L1103:L1111"/>
    <mergeCell ref="A1111:B1111"/>
    <mergeCell ref="A1106:B1106"/>
    <mergeCell ref="A1107:B1107"/>
    <mergeCell ref="A1103:B1103"/>
    <mergeCell ref="A1112:B1112"/>
    <mergeCell ref="A1062:B1062"/>
    <mergeCell ref="A1087:B1087"/>
    <mergeCell ref="A1086:B1086"/>
    <mergeCell ref="A1075:B1075"/>
    <mergeCell ref="A1079:B1079"/>
    <mergeCell ref="A1076:B1076"/>
    <mergeCell ref="A1081:B1081"/>
    <mergeCell ref="A1078:B1078"/>
    <mergeCell ref="A1069:B1069"/>
    <mergeCell ref="A1066:B1066"/>
    <mergeCell ref="A1084:B1084"/>
    <mergeCell ref="M1096:M1102"/>
    <mergeCell ref="M1082:M1088"/>
    <mergeCell ref="A1091:B1091"/>
    <mergeCell ref="A1085:B1085"/>
    <mergeCell ref="A1094:B1094"/>
    <mergeCell ref="A1088:B1088"/>
    <mergeCell ref="A1101:B1101"/>
    <mergeCell ref="L1096:L1102"/>
    <mergeCell ref="L1089:L1095"/>
    <mergeCell ref="O1082:O1088"/>
    <mergeCell ref="N1034:N1081"/>
    <mergeCell ref="O1034:O1081"/>
    <mergeCell ref="A1074:B1074"/>
    <mergeCell ref="L1082:L1088"/>
    <mergeCell ref="N1089:N1095"/>
    <mergeCell ref="A1082:B1082"/>
    <mergeCell ref="A1089:B1089"/>
    <mergeCell ref="A1092:B1092"/>
    <mergeCell ref="N1082:N1088"/>
    <mergeCell ref="A1046:B1046"/>
    <mergeCell ref="A1061:B1061"/>
    <mergeCell ref="A1047:B1047"/>
    <mergeCell ref="A1049:B1049"/>
    <mergeCell ref="L1034:L1081"/>
    <mergeCell ref="A1051:B1051"/>
    <mergeCell ref="A1073:B1073"/>
    <mergeCell ref="A1060:B1060"/>
    <mergeCell ref="A1071:B1071"/>
    <mergeCell ref="A1059:B1059"/>
    <mergeCell ref="A1068:B1068"/>
    <mergeCell ref="A1057:B1057"/>
    <mergeCell ref="A1072:B1072"/>
    <mergeCell ref="L1027:L1033"/>
    <mergeCell ref="A1032:B1032"/>
    <mergeCell ref="A1010:B1010"/>
    <mergeCell ref="A1044:B1044"/>
    <mergeCell ref="A1020:B1020"/>
    <mergeCell ref="A1027:B1027"/>
    <mergeCell ref="L1005:L1011"/>
    <mergeCell ref="A1002:B1002"/>
    <mergeCell ref="A1003:B1003"/>
    <mergeCell ref="A950:B950"/>
    <mergeCell ref="M1034:M1081"/>
    <mergeCell ref="A1080:B1080"/>
    <mergeCell ref="A1054:B1054"/>
    <mergeCell ref="A1056:B1056"/>
    <mergeCell ref="A1048:B1048"/>
    <mergeCell ref="A1037:B1037"/>
    <mergeCell ref="A1055:B1055"/>
    <mergeCell ref="A974:B974"/>
    <mergeCell ref="A954:B954"/>
    <mergeCell ref="A967:B967"/>
    <mergeCell ref="A952:B952"/>
    <mergeCell ref="A962:B962"/>
    <mergeCell ref="A964:B964"/>
    <mergeCell ref="A972:B972"/>
    <mergeCell ref="A971:B971"/>
    <mergeCell ref="A973:B973"/>
    <mergeCell ref="A955:B955"/>
    <mergeCell ref="M1027:M1033"/>
    <mergeCell ref="L1020:L1026"/>
    <mergeCell ref="L970:L976"/>
    <mergeCell ref="A1028:B1028"/>
    <mergeCell ref="A1021:B1021"/>
    <mergeCell ref="M1020:M1026"/>
    <mergeCell ref="A1019:B1019"/>
    <mergeCell ref="A999:B999"/>
    <mergeCell ref="A1000:B1000"/>
    <mergeCell ref="A975:B975"/>
    <mergeCell ref="A1001:B1001"/>
    <mergeCell ref="M941:M947"/>
    <mergeCell ref="A969:B969"/>
    <mergeCell ref="A961:B961"/>
    <mergeCell ref="A958:B958"/>
    <mergeCell ref="A959:B959"/>
    <mergeCell ref="A957:B957"/>
    <mergeCell ref="A998:B998"/>
    <mergeCell ref="L998:L1004"/>
    <mergeCell ref="A968:B968"/>
    <mergeCell ref="O941:O947"/>
    <mergeCell ref="N941:N947"/>
    <mergeCell ref="A947:B947"/>
    <mergeCell ref="A943:B943"/>
    <mergeCell ref="A944:B944"/>
    <mergeCell ref="M934:M940"/>
    <mergeCell ref="N934:N940"/>
    <mergeCell ref="A935:B935"/>
    <mergeCell ref="A945:B945"/>
    <mergeCell ref="A932:B932"/>
    <mergeCell ref="A989:B989"/>
    <mergeCell ref="A966:B966"/>
    <mergeCell ref="A985:B985"/>
    <mergeCell ref="L941:L947"/>
    <mergeCell ref="A946:B946"/>
    <mergeCell ref="A949:B949"/>
    <mergeCell ref="A956:B956"/>
    <mergeCell ref="A963:B963"/>
    <mergeCell ref="A953:B953"/>
    <mergeCell ref="A930:B930"/>
    <mergeCell ref="A940:B940"/>
    <mergeCell ref="L926:L932"/>
    <mergeCell ref="A934:B934"/>
    <mergeCell ref="A951:B951"/>
    <mergeCell ref="O926:O932"/>
    <mergeCell ref="O934:O940"/>
    <mergeCell ref="L934:L940"/>
    <mergeCell ref="A927:B927"/>
    <mergeCell ref="A942:B942"/>
    <mergeCell ref="O919:O925"/>
    <mergeCell ref="A923:B923"/>
    <mergeCell ref="A925:B925"/>
    <mergeCell ref="A919:B919"/>
    <mergeCell ref="A926:B926"/>
    <mergeCell ref="A920:B920"/>
    <mergeCell ref="L919:L925"/>
    <mergeCell ref="A922:B922"/>
    <mergeCell ref="A924:B924"/>
    <mergeCell ref="A904:B904"/>
    <mergeCell ref="L912:L918"/>
    <mergeCell ref="A900:B900"/>
    <mergeCell ref="A901:B901"/>
    <mergeCell ref="L905:L911"/>
    <mergeCell ref="A917:B917"/>
    <mergeCell ref="A915:B915"/>
    <mergeCell ref="A903:B903"/>
    <mergeCell ref="A906:B906"/>
    <mergeCell ref="A914:B914"/>
    <mergeCell ref="A905:B905"/>
    <mergeCell ref="A912:B912"/>
    <mergeCell ref="A910:B910"/>
    <mergeCell ref="A909:B909"/>
    <mergeCell ref="A913:B913"/>
    <mergeCell ref="A911:B911"/>
    <mergeCell ref="A908:B908"/>
    <mergeCell ref="L877:L883"/>
    <mergeCell ref="L891:L897"/>
    <mergeCell ref="A892:B892"/>
    <mergeCell ref="A881:B881"/>
    <mergeCell ref="A893:B893"/>
    <mergeCell ref="A887:B887"/>
    <mergeCell ref="A880:B880"/>
    <mergeCell ref="A888:B888"/>
    <mergeCell ref="A891:B891"/>
    <mergeCell ref="A894:B894"/>
    <mergeCell ref="A871:B871"/>
    <mergeCell ref="A852:B852"/>
    <mergeCell ref="A885:B885"/>
    <mergeCell ref="A890:B890"/>
    <mergeCell ref="A864:B864"/>
    <mergeCell ref="A875:B875"/>
    <mergeCell ref="A879:B879"/>
    <mergeCell ref="A876:B876"/>
    <mergeCell ref="A883:B883"/>
    <mergeCell ref="A874:B874"/>
    <mergeCell ref="A865:B865"/>
    <mergeCell ref="A823:B823"/>
    <mergeCell ref="A827:B827"/>
    <mergeCell ref="A855:B855"/>
    <mergeCell ref="A834:B834"/>
    <mergeCell ref="A837:B837"/>
    <mergeCell ref="A825:B825"/>
    <mergeCell ref="A830:B830"/>
    <mergeCell ref="A861:B861"/>
    <mergeCell ref="A826:B826"/>
    <mergeCell ref="A844:B844"/>
    <mergeCell ref="A840:B840"/>
    <mergeCell ref="A833:B833"/>
    <mergeCell ref="A829:B829"/>
    <mergeCell ref="A831:B831"/>
    <mergeCell ref="A843:B843"/>
    <mergeCell ref="A839:B839"/>
    <mergeCell ref="A802:B802"/>
    <mergeCell ref="A789:B789"/>
    <mergeCell ref="L792:L798"/>
    <mergeCell ref="L785:L791"/>
    <mergeCell ref="A794:B794"/>
    <mergeCell ref="A801:B801"/>
    <mergeCell ref="A799:B799"/>
    <mergeCell ref="A770:B770"/>
    <mergeCell ref="A777:B777"/>
    <mergeCell ref="M778:M784"/>
    <mergeCell ref="A779:B779"/>
    <mergeCell ref="A774:B774"/>
    <mergeCell ref="A782:B782"/>
    <mergeCell ref="L771:L777"/>
    <mergeCell ref="A783:B783"/>
    <mergeCell ref="A780:B780"/>
    <mergeCell ref="A767:B767"/>
    <mergeCell ref="A768:B768"/>
    <mergeCell ref="A788:B788"/>
    <mergeCell ref="A790:B790"/>
    <mergeCell ref="A787:B787"/>
    <mergeCell ref="A771:B771"/>
    <mergeCell ref="A778:B778"/>
    <mergeCell ref="A785:B785"/>
    <mergeCell ref="A772:B772"/>
    <mergeCell ref="A786:B786"/>
    <mergeCell ref="O743:O749"/>
    <mergeCell ref="M750:M756"/>
    <mergeCell ref="N750:N756"/>
    <mergeCell ref="L750:L756"/>
    <mergeCell ref="M743:M749"/>
    <mergeCell ref="A766:B766"/>
    <mergeCell ref="A744:B744"/>
    <mergeCell ref="A750:B750"/>
    <mergeCell ref="A747:B747"/>
    <mergeCell ref="A746:B746"/>
    <mergeCell ref="O764:O770"/>
    <mergeCell ref="O750:O756"/>
    <mergeCell ref="L743:L749"/>
    <mergeCell ref="A752:B752"/>
    <mergeCell ref="L764:L770"/>
    <mergeCell ref="A764:B764"/>
    <mergeCell ref="M764:M770"/>
    <mergeCell ref="A748:B748"/>
    <mergeCell ref="A765:B765"/>
    <mergeCell ref="A749:B749"/>
    <mergeCell ref="A742:B742"/>
    <mergeCell ref="A732:B732"/>
    <mergeCell ref="A730:B730"/>
    <mergeCell ref="N764:N770"/>
    <mergeCell ref="A756:B756"/>
    <mergeCell ref="A753:B753"/>
    <mergeCell ref="A755:B755"/>
    <mergeCell ref="A751:B751"/>
    <mergeCell ref="L736:L742"/>
    <mergeCell ref="N743:N749"/>
    <mergeCell ref="A763:B763"/>
    <mergeCell ref="O690:O696"/>
    <mergeCell ref="M690:M696"/>
    <mergeCell ref="M706:M714"/>
    <mergeCell ref="N736:N742"/>
    <mergeCell ref="N729:N735"/>
    <mergeCell ref="L729:L735"/>
    <mergeCell ref="A741:B741"/>
    <mergeCell ref="O729:O735"/>
    <mergeCell ref="M729:M735"/>
    <mergeCell ref="M736:M742"/>
    <mergeCell ref="O715:O721"/>
    <mergeCell ref="O706:O714"/>
    <mergeCell ref="L715:L721"/>
    <mergeCell ref="L722:L728"/>
    <mergeCell ref="O722:O728"/>
    <mergeCell ref="M722:M728"/>
    <mergeCell ref="O736:O742"/>
    <mergeCell ref="M715:M721"/>
    <mergeCell ref="N715:N721"/>
    <mergeCell ref="N722:N728"/>
    <mergeCell ref="N697:N704"/>
    <mergeCell ref="L690:L696"/>
    <mergeCell ref="N690:N696"/>
    <mergeCell ref="M623:M629"/>
    <mergeCell ref="N623:N629"/>
    <mergeCell ref="M651:M657"/>
    <mergeCell ref="M644:M650"/>
    <mergeCell ref="N644:N650"/>
    <mergeCell ref="L697:L704"/>
    <mergeCell ref="O676:O682"/>
    <mergeCell ref="O651:O657"/>
    <mergeCell ref="O623:O629"/>
    <mergeCell ref="O644:O650"/>
    <mergeCell ref="N667:N675"/>
    <mergeCell ref="L623:L629"/>
    <mergeCell ref="L630:L636"/>
    <mergeCell ref="L651:L657"/>
    <mergeCell ref="O667:O675"/>
    <mergeCell ref="L644:L650"/>
    <mergeCell ref="A627:B627"/>
    <mergeCell ref="A623:G623"/>
    <mergeCell ref="A630:G630"/>
    <mergeCell ref="A635:B635"/>
    <mergeCell ref="A636:B636"/>
    <mergeCell ref="A639:B639"/>
    <mergeCell ref="A631:B631"/>
    <mergeCell ref="A624:B624"/>
    <mergeCell ref="A625:B625"/>
    <mergeCell ref="A632:B632"/>
    <mergeCell ref="A626:B626"/>
    <mergeCell ref="A628:B628"/>
    <mergeCell ref="A618:B618"/>
    <mergeCell ref="A614:B614"/>
    <mergeCell ref="L609:L615"/>
    <mergeCell ref="A619:B619"/>
    <mergeCell ref="A612:B612"/>
    <mergeCell ref="A615:B615"/>
    <mergeCell ref="L616:L622"/>
    <mergeCell ref="A620:B620"/>
    <mergeCell ref="A621:B621"/>
    <mergeCell ref="A622:B622"/>
    <mergeCell ref="A610:B610"/>
    <mergeCell ref="A611:B611"/>
    <mergeCell ref="A607:B607"/>
    <mergeCell ref="A613:B613"/>
    <mergeCell ref="A617:B617"/>
    <mergeCell ref="A609:G609"/>
    <mergeCell ref="A616:G616"/>
    <mergeCell ref="A603:B603"/>
    <mergeCell ref="L602:L608"/>
    <mergeCell ref="N588:N594"/>
    <mergeCell ref="A599:B599"/>
    <mergeCell ref="A592:B592"/>
    <mergeCell ref="A608:B608"/>
    <mergeCell ref="A593:B593"/>
    <mergeCell ref="A591:B591"/>
    <mergeCell ref="L595:L601"/>
    <mergeCell ref="A581:G581"/>
    <mergeCell ref="A586:B586"/>
    <mergeCell ref="O581:O587"/>
    <mergeCell ref="M581:M587"/>
    <mergeCell ref="O595:O601"/>
    <mergeCell ref="N595:N601"/>
    <mergeCell ref="A600:B600"/>
    <mergeCell ref="M588:M594"/>
    <mergeCell ref="L588:L594"/>
    <mergeCell ref="A589:B589"/>
    <mergeCell ref="A578:B578"/>
    <mergeCell ref="A588:G588"/>
    <mergeCell ref="A601:B601"/>
    <mergeCell ref="L574:L580"/>
    <mergeCell ref="A576:B576"/>
    <mergeCell ref="A577:B577"/>
    <mergeCell ref="A585:B585"/>
    <mergeCell ref="A587:B587"/>
    <mergeCell ref="L581:L587"/>
    <mergeCell ref="A582:B582"/>
    <mergeCell ref="M560:M566"/>
    <mergeCell ref="A567:B567"/>
    <mergeCell ref="O588:O594"/>
    <mergeCell ref="A583:B583"/>
    <mergeCell ref="A584:B584"/>
    <mergeCell ref="N581:N587"/>
    <mergeCell ref="A580:B580"/>
    <mergeCell ref="A579:B579"/>
    <mergeCell ref="A594:B594"/>
    <mergeCell ref="N574:N580"/>
    <mergeCell ref="A560:G560"/>
    <mergeCell ref="A558:B558"/>
    <mergeCell ref="O574:O580"/>
    <mergeCell ref="M574:M580"/>
    <mergeCell ref="M553:M559"/>
    <mergeCell ref="O560:O566"/>
    <mergeCell ref="A565:B565"/>
    <mergeCell ref="M567:M573"/>
    <mergeCell ref="A575:B575"/>
    <mergeCell ref="N560:N566"/>
    <mergeCell ref="A524:B524"/>
    <mergeCell ref="O513:O519"/>
    <mergeCell ref="A564:B564"/>
    <mergeCell ref="A556:B556"/>
    <mergeCell ref="A562:B562"/>
    <mergeCell ref="A553:G553"/>
    <mergeCell ref="L560:L566"/>
    <mergeCell ref="L553:L559"/>
    <mergeCell ref="A566:B566"/>
    <mergeCell ref="A561:B561"/>
    <mergeCell ref="O464:O470"/>
    <mergeCell ref="L478:L484"/>
    <mergeCell ref="L471:L477"/>
    <mergeCell ref="A472:B472"/>
    <mergeCell ref="A551:B551"/>
    <mergeCell ref="A509:B509"/>
    <mergeCell ref="L499:L505"/>
    <mergeCell ref="O506:O512"/>
    <mergeCell ref="A483:B483"/>
    <mergeCell ref="A511:B511"/>
    <mergeCell ref="A477:B477"/>
    <mergeCell ref="A482:B482"/>
    <mergeCell ref="A475:B475"/>
    <mergeCell ref="A476:B476"/>
    <mergeCell ref="A469:B469"/>
    <mergeCell ref="A479:B479"/>
    <mergeCell ref="A474:B474"/>
    <mergeCell ref="A473:B473"/>
    <mergeCell ref="A480:B480"/>
    <mergeCell ref="A459:B459"/>
    <mergeCell ref="L450:L456"/>
    <mergeCell ref="A453:B453"/>
    <mergeCell ref="A467:B467"/>
    <mergeCell ref="A468:B468"/>
    <mergeCell ref="L464:L470"/>
    <mergeCell ref="A470:B470"/>
    <mergeCell ref="A463:B463"/>
    <mergeCell ref="A450:G450"/>
    <mergeCell ref="A457:G457"/>
    <mergeCell ref="A445:B445"/>
    <mergeCell ref="A437:B437"/>
    <mergeCell ref="A439:B439"/>
    <mergeCell ref="A462:B462"/>
    <mergeCell ref="O450:O456"/>
    <mergeCell ref="M450:M456"/>
    <mergeCell ref="N450:N456"/>
    <mergeCell ref="A451:B451"/>
    <mergeCell ref="A455:B455"/>
    <mergeCell ref="A460:B460"/>
    <mergeCell ref="N434:N442"/>
    <mergeCell ref="L427:L433"/>
    <mergeCell ref="M420:M426"/>
    <mergeCell ref="O443:O449"/>
    <mergeCell ref="A433:B433"/>
    <mergeCell ref="A447:B447"/>
    <mergeCell ref="A448:B448"/>
    <mergeCell ref="A449:B449"/>
    <mergeCell ref="A446:B446"/>
    <mergeCell ref="A444:B444"/>
    <mergeCell ref="L434:L442"/>
    <mergeCell ref="A421:B421"/>
    <mergeCell ref="A422:B422"/>
    <mergeCell ref="A435:B435"/>
    <mergeCell ref="A426:B426"/>
    <mergeCell ref="A424:B424"/>
    <mergeCell ref="A423:B423"/>
    <mergeCell ref="A441:B441"/>
    <mergeCell ref="A428:B428"/>
    <mergeCell ref="A386:B386"/>
    <mergeCell ref="L406:L412"/>
    <mergeCell ref="A398:B398"/>
    <mergeCell ref="A390:B390"/>
    <mergeCell ref="A409:B409"/>
    <mergeCell ref="A403:B403"/>
    <mergeCell ref="A404:B404"/>
    <mergeCell ref="A396:B396"/>
    <mergeCell ref="A402:B402"/>
    <mergeCell ref="A410:B410"/>
    <mergeCell ref="A389:B389"/>
    <mergeCell ref="A394:B394"/>
    <mergeCell ref="A436:B436"/>
    <mergeCell ref="A407:B407"/>
    <mergeCell ref="A408:B408"/>
    <mergeCell ref="A419:B419"/>
    <mergeCell ref="A434:G434"/>
    <mergeCell ref="A411:B411"/>
    <mergeCell ref="A401:B401"/>
    <mergeCell ref="A418:B418"/>
    <mergeCell ref="A393:B393"/>
    <mergeCell ref="A387:B387"/>
    <mergeCell ref="A388:B388"/>
    <mergeCell ref="A430:B430"/>
    <mergeCell ref="A425:B425"/>
    <mergeCell ref="A429:B429"/>
    <mergeCell ref="A406:G406"/>
    <mergeCell ref="A413:G413"/>
    <mergeCell ref="A420:G420"/>
    <mergeCell ref="A427:G427"/>
    <mergeCell ref="A405:B405"/>
    <mergeCell ref="A415:B415"/>
    <mergeCell ref="A417:B417"/>
    <mergeCell ref="A395:B395"/>
    <mergeCell ref="A397:B397"/>
    <mergeCell ref="A399:G399"/>
    <mergeCell ref="A414:B414"/>
    <mergeCell ref="A416:B416"/>
    <mergeCell ref="A375:B375"/>
    <mergeCell ref="L371:L377"/>
    <mergeCell ref="A376:B376"/>
    <mergeCell ref="L378:L384"/>
    <mergeCell ref="A377:B377"/>
    <mergeCell ref="A383:B383"/>
    <mergeCell ref="A378:G378"/>
    <mergeCell ref="A384:B384"/>
    <mergeCell ref="A374:B374"/>
    <mergeCell ref="A371:G371"/>
    <mergeCell ref="A358:B358"/>
    <mergeCell ref="A369:B369"/>
    <mergeCell ref="A373:B373"/>
    <mergeCell ref="A382:B382"/>
    <mergeCell ref="A366:B366"/>
    <mergeCell ref="A367:B367"/>
    <mergeCell ref="A359:B359"/>
    <mergeCell ref="A360:B360"/>
    <mergeCell ref="A365:B365"/>
    <mergeCell ref="A372:B372"/>
    <mergeCell ref="A310:B310"/>
    <mergeCell ref="A327:B327"/>
    <mergeCell ref="A334:B334"/>
    <mergeCell ref="A356:B356"/>
    <mergeCell ref="A349:B349"/>
    <mergeCell ref="A350:B350"/>
    <mergeCell ref="A351:B351"/>
    <mergeCell ref="A354:B354"/>
    <mergeCell ref="A355:B355"/>
    <mergeCell ref="A352:B352"/>
    <mergeCell ref="A302:B302"/>
    <mergeCell ref="A303:B303"/>
    <mergeCell ref="A300:B300"/>
    <mergeCell ref="A337:B337"/>
    <mergeCell ref="A309:B309"/>
    <mergeCell ref="A311:B311"/>
    <mergeCell ref="A312:B312"/>
    <mergeCell ref="A316:B316"/>
    <mergeCell ref="A317:B317"/>
    <mergeCell ref="A318:B318"/>
    <mergeCell ref="A295:B295"/>
    <mergeCell ref="A296:B296"/>
    <mergeCell ref="A298:B298"/>
    <mergeCell ref="A299:B299"/>
    <mergeCell ref="A292:B292"/>
    <mergeCell ref="A293:B293"/>
    <mergeCell ref="A294:B294"/>
    <mergeCell ref="N254:N260"/>
    <mergeCell ref="N283:N289"/>
    <mergeCell ref="N261:N267"/>
    <mergeCell ref="L283:L289"/>
    <mergeCell ref="M283:M289"/>
    <mergeCell ref="L261:L267"/>
    <mergeCell ref="M261:M267"/>
    <mergeCell ref="M276:M282"/>
    <mergeCell ref="L276:L282"/>
    <mergeCell ref="L269:L275"/>
    <mergeCell ref="O247:O253"/>
    <mergeCell ref="O254:O260"/>
    <mergeCell ref="L254:L260"/>
    <mergeCell ref="N247:N253"/>
    <mergeCell ref="A262:B262"/>
    <mergeCell ref="M254:M260"/>
    <mergeCell ref="A258:B258"/>
    <mergeCell ref="A257:B257"/>
    <mergeCell ref="A260:B260"/>
    <mergeCell ref="A259:B259"/>
    <mergeCell ref="M247:M253"/>
    <mergeCell ref="L247:L253"/>
    <mergeCell ref="L240:L246"/>
    <mergeCell ref="A249:B249"/>
    <mergeCell ref="A250:B250"/>
    <mergeCell ref="A251:B251"/>
    <mergeCell ref="A252:B252"/>
    <mergeCell ref="A244:B244"/>
    <mergeCell ref="A246:B246"/>
    <mergeCell ref="A241:B241"/>
    <mergeCell ref="O233:O239"/>
    <mergeCell ref="L233:L239"/>
    <mergeCell ref="M233:M239"/>
    <mergeCell ref="N233:N239"/>
    <mergeCell ref="O226:O232"/>
    <mergeCell ref="A237:B237"/>
    <mergeCell ref="A238:B238"/>
    <mergeCell ref="A239:B239"/>
    <mergeCell ref="N226:N232"/>
    <mergeCell ref="M226:M232"/>
    <mergeCell ref="A220:B220"/>
    <mergeCell ref="A223:B223"/>
    <mergeCell ref="L226:L232"/>
    <mergeCell ref="A231:B231"/>
    <mergeCell ref="A224:B224"/>
    <mergeCell ref="A225:B225"/>
    <mergeCell ref="A222:B222"/>
    <mergeCell ref="A228:B228"/>
    <mergeCell ref="A232:B232"/>
    <mergeCell ref="A227:B227"/>
    <mergeCell ref="A211:B211"/>
    <mergeCell ref="L219:L225"/>
    <mergeCell ref="O205:O211"/>
    <mergeCell ref="A218:B218"/>
    <mergeCell ref="A199:B199"/>
    <mergeCell ref="A200:B200"/>
    <mergeCell ref="A213:B213"/>
    <mergeCell ref="A221:B221"/>
    <mergeCell ref="N219:N225"/>
    <mergeCell ref="A210:B210"/>
    <mergeCell ref="A192:B192"/>
    <mergeCell ref="A193:B193"/>
    <mergeCell ref="L191:L197"/>
    <mergeCell ref="M191:M197"/>
    <mergeCell ref="A197:B197"/>
    <mergeCell ref="M219:M225"/>
    <mergeCell ref="A214:B214"/>
    <mergeCell ref="A215:B215"/>
    <mergeCell ref="A216:B216"/>
    <mergeCell ref="A217:B217"/>
    <mergeCell ref="A194:B194"/>
    <mergeCell ref="A179:B179"/>
    <mergeCell ref="A181:B181"/>
    <mergeCell ref="M183:M190"/>
    <mergeCell ref="A184:B184"/>
    <mergeCell ref="L183:L190"/>
    <mergeCell ref="A188:B188"/>
    <mergeCell ref="A189:B189"/>
    <mergeCell ref="A185:B185"/>
    <mergeCell ref="L176:L182"/>
    <mergeCell ref="N176:N182"/>
    <mergeCell ref="O176:O182"/>
    <mergeCell ref="A170:B170"/>
    <mergeCell ref="A174:B174"/>
    <mergeCell ref="A182:B182"/>
    <mergeCell ref="M176:M182"/>
    <mergeCell ref="A177:B177"/>
    <mergeCell ref="A178:B178"/>
    <mergeCell ref="O168:O174"/>
    <mergeCell ref="A168:B168"/>
    <mergeCell ref="O45:O51"/>
    <mergeCell ref="A67:B67"/>
    <mergeCell ref="A69:B69"/>
    <mergeCell ref="N59:N65"/>
    <mergeCell ref="A64:B64"/>
    <mergeCell ref="N161:N167"/>
    <mergeCell ref="O66:O72"/>
    <mergeCell ref="O161:O167"/>
    <mergeCell ref="N154:N160"/>
    <mergeCell ref="O154:O160"/>
    <mergeCell ref="C10:K11"/>
    <mergeCell ref="O10:O12"/>
    <mergeCell ref="N10:N12"/>
    <mergeCell ref="L10:L12"/>
    <mergeCell ref="M10:M12"/>
    <mergeCell ref="O14:O24"/>
    <mergeCell ref="N14:N24"/>
    <mergeCell ref="M52:M58"/>
    <mergeCell ref="A10:A12"/>
    <mergeCell ref="B10:B12"/>
    <mergeCell ref="A17:B17"/>
    <mergeCell ref="A15:B15"/>
    <mergeCell ref="M14:M24"/>
    <mergeCell ref="A18:B18"/>
    <mergeCell ref="A19:B19"/>
    <mergeCell ref="A20:B20"/>
    <mergeCell ref="L14:L24"/>
    <mergeCell ref="A21:B21"/>
    <mergeCell ref="A16:B16"/>
    <mergeCell ref="A14:B14"/>
    <mergeCell ref="A68:B68"/>
    <mergeCell ref="A65:B65"/>
    <mergeCell ref="A54:B54"/>
    <mergeCell ref="A47:B47"/>
    <mergeCell ref="A48:B48"/>
    <mergeCell ref="A56:B56"/>
    <mergeCell ref="A22:B22"/>
    <mergeCell ref="A59:B59"/>
    <mergeCell ref="M25:M44"/>
    <mergeCell ref="N25:N44"/>
    <mergeCell ref="A23:B23"/>
    <mergeCell ref="A24:B24"/>
    <mergeCell ref="A27:B27"/>
    <mergeCell ref="A44:B44"/>
    <mergeCell ref="A26:B26"/>
    <mergeCell ref="A28:B28"/>
    <mergeCell ref="A42:B42"/>
    <mergeCell ref="A66:B66"/>
    <mergeCell ref="N45:N51"/>
    <mergeCell ref="M45:M51"/>
    <mergeCell ref="A50:B50"/>
    <mergeCell ref="L45:L51"/>
    <mergeCell ref="A49:B49"/>
    <mergeCell ref="L59:L65"/>
    <mergeCell ref="A62:B62"/>
    <mergeCell ref="A55:B55"/>
    <mergeCell ref="A61:B61"/>
    <mergeCell ref="L25:L44"/>
    <mergeCell ref="A46:B46"/>
    <mergeCell ref="A51:B51"/>
    <mergeCell ref="L52:L58"/>
    <mergeCell ref="A45:B45"/>
    <mergeCell ref="A52:B52"/>
    <mergeCell ref="A57:B57"/>
    <mergeCell ref="A25:B25"/>
    <mergeCell ref="A43:B43"/>
    <mergeCell ref="A60:B60"/>
    <mergeCell ref="N66:N72"/>
    <mergeCell ref="A90:B90"/>
    <mergeCell ref="A58:B58"/>
    <mergeCell ref="A53:B53"/>
    <mergeCell ref="A76:B76"/>
    <mergeCell ref="A77:B77"/>
    <mergeCell ref="A78:B78"/>
    <mergeCell ref="A63:B63"/>
    <mergeCell ref="A70:B70"/>
    <mergeCell ref="M89:M95"/>
    <mergeCell ref="N82:N88"/>
    <mergeCell ref="A81:B81"/>
    <mergeCell ref="A79:B79"/>
    <mergeCell ref="A94:B94"/>
    <mergeCell ref="A95:B95"/>
    <mergeCell ref="A91:B91"/>
    <mergeCell ref="A92:B92"/>
    <mergeCell ref="A87:B87"/>
    <mergeCell ref="N89:N95"/>
    <mergeCell ref="A186:B186"/>
    <mergeCell ref="O89:O95"/>
    <mergeCell ref="A109:B109"/>
    <mergeCell ref="A118:B118"/>
    <mergeCell ref="A180:B180"/>
    <mergeCell ref="A114:B114"/>
    <mergeCell ref="A151:B151"/>
    <mergeCell ref="A152:B152"/>
    <mergeCell ref="A162:B162"/>
    <mergeCell ref="A171:B171"/>
    <mergeCell ref="A119:B119"/>
    <mergeCell ref="A255:B255"/>
    <mergeCell ref="A111:B111"/>
    <mergeCell ref="A155:B155"/>
    <mergeCell ref="A156:B156"/>
    <mergeCell ref="A229:B229"/>
    <mergeCell ref="A163:B163"/>
    <mergeCell ref="A120:B120"/>
    <mergeCell ref="A115:B115"/>
    <mergeCell ref="A116:B116"/>
    <mergeCell ref="A167:B167"/>
    <mergeCell ref="N110:N116"/>
    <mergeCell ref="A113:B113"/>
    <mergeCell ref="A112:B112"/>
    <mergeCell ref="A160:B160"/>
    <mergeCell ref="A158:B158"/>
    <mergeCell ref="A159:B159"/>
    <mergeCell ref="A153:B153"/>
    <mergeCell ref="A157:B157"/>
    <mergeCell ref="A117:B117"/>
    <mergeCell ref="A206:B206"/>
    <mergeCell ref="A169:B169"/>
    <mergeCell ref="A154:B154"/>
    <mergeCell ref="A161:B161"/>
    <mergeCell ref="A164:B164"/>
    <mergeCell ref="A209:B209"/>
    <mergeCell ref="A201:B201"/>
    <mergeCell ref="A202:B202"/>
    <mergeCell ref="A173:B173"/>
    <mergeCell ref="A203:B203"/>
    <mergeCell ref="A362:B362"/>
    <mergeCell ref="A346:B346"/>
    <mergeCell ref="A333:B333"/>
    <mergeCell ref="A253:B253"/>
    <mergeCell ref="A287:B287"/>
    <mergeCell ref="A280:B280"/>
    <mergeCell ref="A281:B281"/>
    <mergeCell ref="A278:B278"/>
    <mergeCell ref="A284:B284"/>
    <mergeCell ref="A301:B301"/>
    <mergeCell ref="A288:B288"/>
    <mergeCell ref="A291:B291"/>
    <mergeCell ref="A289:B289"/>
    <mergeCell ref="A347:B347"/>
    <mergeCell ref="A335:B335"/>
    <mergeCell ref="A344:B344"/>
    <mergeCell ref="A308:B308"/>
    <mergeCell ref="A332:B332"/>
    <mergeCell ref="A330:B330"/>
    <mergeCell ref="A331:B331"/>
    <mergeCell ref="A361:B361"/>
    <mergeCell ref="A235:B235"/>
    <mergeCell ref="A245:B245"/>
    <mergeCell ref="A248:B248"/>
    <mergeCell ref="A270:B270"/>
    <mergeCell ref="A283:B283"/>
    <mergeCell ref="A242:B242"/>
    <mergeCell ref="A243:B243"/>
    <mergeCell ref="A276:B276"/>
    <mergeCell ref="A282:B282"/>
    <mergeCell ref="A277:B277"/>
    <mergeCell ref="L154:L160"/>
    <mergeCell ref="M110:M116"/>
    <mergeCell ref="L117:L153"/>
    <mergeCell ref="M154:M160"/>
    <mergeCell ref="L168:L174"/>
    <mergeCell ref="M168:M174"/>
    <mergeCell ref="M117:M153"/>
    <mergeCell ref="L161:L167"/>
    <mergeCell ref="M161:M167"/>
    <mergeCell ref="A98:B98"/>
    <mergeCell ref="N117:N153"/>
    <mergeCell ref="A172:B172"/>
    <mergeCell ref="A165:B165"/>
    <mergeCell ref="A166:B166"/>
    <mergeCell ref="A80:B80"/>
    <mergeCell ref="A83:B83"/>
    <mergeCell ref="A84:B84"/>
    <mergeCell ref="A85:B85"/>
    <mergeCell ref="A88:B88"/>
    <mergeCell ref="A101:B101"/>
    <mergeCell ref="A99:B99"/>
    <mergeCell ref="A100:B100"/>
    <mergeCell ref="A107:B107"/>
    <mergeCell ref="A108:B108"/>
    <mergeCell ref="A104:B104"/>
    <mergeCell ref="A102:B102"/>
    <mergeCell ref="A105:B105"/>
    <mergeCell ref="O25:O44"/>
    <mergeCell ref="L82:L88"/>
    <mergeCell ref="N75:N81"/>
    <mergeCell ref="O75:O81"/>
    <mergeCell ref="O59:O65"/>
    <mergeCell ref="N52:N58"/>
    <mergeCell ref="O52:O58"/>
    <mergeCell ref="M66:M72"/>
    <mergeCell ref="L66:L72"/>
    <mergeCell ref="M82:M88"/>
    <mergeCell ref="O103:O109"/>
    <mergeCell ref="A86:B86"/>
    <mergeCell ref="L96:L102"/>
    <mergeCell ref="L89:L95"/>
    <mergeCell ref="N103:N109"/>
    <mergeCell ref="A93:B93"/>
    <mergeCell ref="A106:B106"/>
    <mergeCell ref="O96:O102"/>
    <mergeCell ref="M103:M109"/>
    <mergeCell ref="A97:B97"/>
    <mergeCell ref="L757:L763"/>
    <mergeCell ref="M757:M763"/>
    <mergeCell ref="N757:N763"/>
    <mergeCell ref="O757:O763"/>
    <mergeCell ref="M630:M636"/>
    <mergeCell ref="N630:N636"/>
    <mergeCell ref="O630:O636"/>
    <mergeCell ref="N706:N714"/>
    <mergeCell ref="L706:L714"/>
    <mergeCell ref="L683:L689"/>
    <mergeCell ref="M792:M798"/>
    <mergeCell ref="O912:O918"/>
    <mergeCell ref="O898:O904"/>
    <mergeCell ref="O905:O911"/>
    <mergeCell ref="O842:O848"/>
    <mergeCell ref="M799:M805"/>
    <mergeCell ref="N799:N805"/>
    <mergeCell ref="O799:O805"/>
    <mergeCell ref="O821:O827"/>
    <mergeCell ref="M842:M848"/>
    <mergeCell ref="N842:N848"/>
    <mergeCell ref="O835:O841"/>
    <mergeCell ref="O806:O812"/>
    <mergeCell ref="O849:O855"/>
    <mergeCell ref="N792:N798"/>
    <mergeCell ref="O792:O798"/>
    <mergeCell ref="O828:O834"/>
    <mergeCell ref="N806:N812"/>
    <mergeCell ref="N821:N827"/>
    <mergeCell ref="N828:N834"/>
    <mergeCell ref="M785:M791"/>
    <mergeCell ref="A9:O9"/>
    <mergeCell ref="A491:B491"/>
    <mergeCell ref="L75:L81"/>
    <mergeCell ref="M59:M65"/>
    <mergeCell ref="O276:O282"/>
    <mergeCell ref="A687:B687"/>
    <mergeCell ref="M290:M296"/>
    <mergeCell ref="N276:N282"/>
    <mergeCell ref="N785:N791"/>
    <mergeCell ref="A719:B719"/>
    <mergeCell ref="A693:B693"/>
    <mergeCell ref="A689:B689"/>
    <mergeCell ref="A710:B710"/>
    <mergeCell ref="A718:B718"/>
    <mergeCell ref="A704:B704"/>
    <mergeCell ref="A717:B717"/>
    <mergeCell ref="A714:B714"/>
    <mergeCell ref="A712:B712"/>
    <mergeCell ref="A705:B705"/>
    <mergeCell ref="A691:B691"/>
    <mergeCell ref="O341:O347"/>
    <mergeCell ref="L385:L391"/>
    <mergeCell ref="L364:L370"/>
    <mergeCell ref="A363:B363"/>
    <mergeCell ref="M341:M347"/>
    <mergeCell ref="L485:L491"/>
    <mergeCell ref="L357:L363"/>
    <mergeCell ref="N349:N356"/>
    <mergeCell ref="O616:O622"/>
    <mergeCell ref="M327:M333"/>
    <mergeCell ref="L304:L310"/>
    <mergeCell ref="M349:M356"/>
    <mergeCell ref="O349:O356"/>
    <mergeCell ref="M357:M363"/>
    <mergeCell ref="L327:L333"/>
    <mergeCell ref="N341:N347"/>
    <mergeCell ref="N327:N333"/>
    <mergeCell ref="L341:L347"/>
    <mergeCell ref="N304:N310"/>
    <mergeCell ref="O304:O310"/>
    <mergeCell ref="O320:O325"/>
    <mergeCell ref="N320:N325"/>
    <mergeCell ref="N334:N340"/>
    <mergeCell ref="O334:O340"/>
    <mergeCell ref="O327:O333"/>
    <mergeCell ref="N290:N296"/>
    <mergeCell ref="O261:O267"/>
    <mergeCell ref="O290:O296"/>
    <mergeCell ref="O283:O289"/>
    <mergeCell ref="A304:B304"/>
    <mergeCell ref="A285:B285"/>
    <mergeCell ref="N269:N275"/>
    <mergeCell ref="O269:O275"/>
    <mergeCell ref="A264:B264"/>
    <mergeCell ref="L290:L296"/>
    <mergeCell ref="A326:B326"/>
    <mergeCell ref="A338:B338"/>
    <mergeCell ref="A336:B336"/>
    <mergeCell ref="A340:B340"/>
    <mergeCell ref="A339:B339"/>
    <mergeCell ref="L320:L325"/>
    <mergeCell ref="L413:L419"/>
    <mergeCell ref="L420:L426"/>
    <mergeCell ref="L392:L398"/>
    <mergeCell ref="L399:L405"/>
    <mergeCell ref="M443:M449"/>
    <mergeCell ref="A328:B328"/>
    <mergeCell ref="L349:L356"/>
    <mergeCell ref="L334:L340"/>
    <mergeCell ref="M334:M340"/>
    <mergeCell ref="A329:B329"/>
    <mergeCell ref="M464:M470"/>
    <mergeCell ref="M457:M463"/>
    <mergeCell ref="O457:O463"/>
    <mergeCell ref="N427:N433"/>
    <mergeCell ref="O427:O433"/>
    <mergeCell ref="N520:N526"/>
    <mergeCell ref="O434:O442"/>
    <mergeCell ref="M520:M526"/>
    <mergeCell ref="M427:M433"/>
    <mergeCell ref="M513:M519"/>
    <mergeCell ref="N443:N449"/>
    <mergeCell ref="A438:B438"/>
    <mergeCell ref="A431:B431"/>
    <mergeCell ref="N357:N363"/>
    <mergeCell ref="O357:O363"/>
    <mergeCell ref="N371:N377"/>
    <mergeCell ref="O371:O377"/>
    <mergeCell ref="O364:O370"/>
    <mergeCell ref="N364:N370"/>
    <mergeCell ref="M434:M442"/>
    <mergeCell ref="N420:N426"/>
    <mergeCell ref="M364:M370"/>
    <mergeCell ref="O420:O426"/>
    <mergeCell ref="N513:N519"/>
    <mergeCell ref="M378:M384"/>
    <mergeCell ref="N378:N384"/>
    <mergeCell ref="O378:O384"/>
    <mergeCell ref="M371:M377"/>
    <mergeCell ref="N392:N398"/>
    <mergeCell ref="O392:O398"/>
    <mergeCell ref="M385:M391"/>
    <mergeCell ref="N385:N391"/>
    <mergeCell ref="O385:O391"/>
    <mergeCell ref="M392:M398"/>
    <mergeCell ref="M406:M412"/>
    <mergeCell ref="M399:M405"/>
    <mergeCell ref="N399:N405"/>
    <mergeCell ref="O399:O405"/>
    <mergeCell ref="O406:O412"/>
    <mergeCell ref="N406:N412"/>
    <mergeCell ref="M616:M622"/>
    <mergeCell ref="M676:M682"/>
    <mergeCell ref="M683:M689"/>
    <mergeCell ref="A933:B933"/>
    <mergeCell ref="A948:B948"/>
    <mergeCell ref="A877:B877"/>
    <mergeCell ref="A884:B884"/>
    <mergeCell ref="A941:B941"/>
    <mergeCell ref="A715:B715"/>
    <mergeCell ref="A696:B696"/>
    <mergeCell ref="N616:N622"/>
    <mergeCell ref="N683:N689"/>
    <mergeCell ref="O683:O689"/>
    <mergeCell ref="N676:N682"/>
    <mergeCell ref="A842:B842"/>
    <mergeCell ref="A863:B863"/>
    <mergeCell ref="O637:O643"/>
    <mergeCell ref="A821:B821"/>
    <mergeCell ref="A820:B820"/>
    <mergeCell ref="A828:B828"/>
    <mergeCell ref="A858:B858"/>
    <mergeCell ref="A644:G644"/>
    <mergeCell ref="A651:G651"/>
    <mergeCell ref="A806:B806"/>
    <mergeCell ref="A773:B773"/>
    <mergeCell ref="A775:B775"/>
    <mergeCell ref="A706:B706"/>
    <mergeCell ref="A677:B677"/>
    <mergeCell ref="A668:B668"/>
    <mergeCell ref="A694:B694"/>
    <mergeCell ref="N457:N463"/>
    <mergeCell ref="A792:B792"/>
    <mergeCell ref="A872:B872"/>
    <mergeCell ref="A869:B869"/>
    <mergeCell ref="A851:B851"/>
    <mergeCell ref="A850:B850"/>
    <mergeCell ref="A793:B793"/>
    <mergeCell ref="A866:B866"/>
    <mergeCell ref="A857:B857"/>
    <mergeCell ref="L676:L682"/>
    <mergeCell ref="M697:M704"/>
    <mergeCell ref="O697:O704"/>
    <mergeCell ref="A595:G595"/>
    <mergeCell ref="A602:G602"/>
    <mergeCell ref="A700:B700"/>
    <mergeCell ref="A683:G683"/>
    <mergeCell ref="A695:B695"/>
    <mergeCell ref="M658:M664"/>
    <mergeCell ref="A669:B669"/>
    <mergeCell ref="M637:M643"/>
    <mergeCell ref="N413:N419"/>
    <mergeCell ref="O413:O419"/>
    <mergeCell ref="A675:B675"/>
    <mergeCell ref="N658:N664"/>
    <mergeCell ref="O658:O664"/>
    <mergeCell ref="A664:B664"/>
    <mergeCell ref="A662:B662"/>
    <mergeCell ref="M413:M419"/>
    <mergeCell ref="A658:G658"/>
    <mergeCell ref="L658:L664"/>
    <mergeCell ref="A673:B673"/>
    <mergeCell ref="L667:L675"/>
    <mergeCell ref="M667:M675"/>
    <mergeCell ref="L637:L643"/>
    <mergeCell ref="A641:B641"/>
    <mergeCell ref="A652:B652"/>
    <mergeCell ref="A663:B663"/>
    <mergeCell ref="A656:B656"/>
    <mergeCell ref="A686:B686"/>
    <mergeCell ref="A676:G676"/>
    <mergeCell ref="A671:B671"/>
    <mergeCell ref="A672:B672"/>
    <mergeCell ref="A605:B605"/>
    <mergeCell ref="A606:B606"/>
    <mergeCell ref="A681:B681"/>
    <mergeCell ref="A665:B665"/>
    <mergeCell ref="A666:B666"/>
    <mergeCell ref="A667:B667"/>
    <mergeCell ref="N651:N657"/>
    <mergeCell ref="N637:N643"/>
    <mergeCell ref="A638:B638"/>
    <mergeCell ref="A646:B646"/>
    <mergeCell ref="A647:B647"/>
    <mergeCell ref="A650:B650"/>
    <mergeCell ref="A657:B657"/>
    <mergeCell ref="A648:B648"/>
    <mergeCell ref="A645:B645"/>
    <mergeCell ref="A643:B643"/>
    <mergeCell ref="O520:O526"/>
    <mergeCell ref="N553:N559"/>
    <mergeCell ref="A554:B554"/>
    <mergeCell ref="A563:B563"/>
    <mergeCell ref="A540:B540"/>
    <mergeCell ref="M595:M601"/>
    <mergeCell ref="O553:O559"/>
    <mergeCell ref="A555:B555"/>
    <mergeCell ref="A547:B547"/>
    <mergeCell ref="A559:B559"/>
    <mergeCell ref="A538:B538"/>
    <mergeCell ref="L513:L519"/>
    <mergeCell ref="A598:B598"/>
    <mergeCell ref="A596:B596"/>
    <mergeCell ref="A597:B597"/>
    <mergeCell ref="A604:B604"/>
    <mergeCell ref="A517:B517"/>
    <mergeCell ref="A518:B518"/>
    <mergeCell ref="L544:L552"/>
    <mergeCell ref="A545:B545"/>
    <mergeCell ref="L534:L540"/>
    <mergeCell ref="A532:B532"/>
    <mergeCell ref="A590:B590"/>
    <mergeCell ref="N567:N573"/>
    <mergeCell ref="O567:O573"/>
    <mergeCell ref="M471:M477"/>
    <mergeCell ref="N471:N477"/>
    <mergeCell ref="O471:O477"/>
    <mergeCell ref="A574:G574"/>
    <mergeCell ref="L520:L526"/>
    <mergeCell ref="A525:B525"/>
    <mergeCell ref="A526:B526"/>
    <mergeCell ref="A522:B522"/>
    <mergeCell ref="O527:O533"/>
    <mergeCell ref="A534:B534"/>
    <mergeCell ref="M534:M540"/>
    <mergeCell ref="N534:N540"/>
    <mergeCell ref="O534:O540"/>
    <mergeCell ref="A531:B531"/>
    <mergeCell ref="N527:N533"/>
    <mergeCell ref="A550:B550"/>
    <mergeCell ref="A549:B549"/>
    <mergeCell ref="A557:B557"/>
    <mergeCell ref="M544:M552"/>
    <mergeCell ref="L527:L533"/>
    <mergeCell ref="A528:B528"/>
    <mergeCell ref="A529:B529"/>
    <mergeCell ref="A530:B530"/>
    <mergeCell ref="A537:B537"/>
    <mergeCell ref="A539:B539"/>
    <mergeCell ref="M485:M491"/>
    <mergeCell ref="A514:B514"/>
    <mergeCell ref="A506:G506"/>
    <mergeCell ref="A533:B533"/>
    <mergeCell ref="M527:M533"/>
    <mergeCell ref="A523:B523"/>
    <mergeCell ref="A520:G520"/>
    <mergeCell ref="A521:B521"/>
    <mergeCell ref="A527:B527"/>
    <mergeCell ref="A516:B516"/>
    <mergeCell ref="O478:O484"/>
    <mergeCell ref="A487:B487"/>
    <mergeCell ref="L492:L498"/>
    <mergeCell ref="A490:B490"/>
    <mergeCell ref="A481:B481"/>
    <mergeCell ref="A485:G485"/>
    <mergeCell ref="A492:G492"/>
    <mergeCell ref="A497:B497"/>
    <mergeCell ref="A488:B488"/>
    <mergeCell ref="M492:M498"/>
    <mergeCell ref="N492:N498"/>
    <mergeCell ref="O499:O505"/>
    <mergeCell ref="A499:G499"/>
    <mergeCell ref="N506:N512"/>
    <mergeCell ref="A507:B507"/>
    <mergeCell ref="M499:M505"/>
    <mergeCell ref="L506:L512"/>
    <mergeCell ref="A508:B508"/>
    <mergeCell ref="N499:N505"/>
    <mergeCell ref="A493:B493"/>
    <mergeCell ref="N478:N484"/>
    <mergeCell ref="A478:G478"/>
    <mergeCell ref="M478:M484"/>
    <mergeCell ref="A458:B458"/>
    <mergeCell ref="A461:B461"/>
    <mergeCell ref="O492:O498"/>
    <mergeCell ref="N485:N491"/>
    <mergeCell ref="A494:B494"/>
    <mergeCell ref="A495:B495"/>
    <mergeCell ref="O485:O491"/>
    <mergeCell ref="A452:B452"/>
    <mergeCell ref="A454:B454"/>
    <mergeCell ref="A456:B456"/>
    <mergeCell ref="A440:B440"/>
    <mergeCell ref="A442:B442"/>
    <mergeCell ref="A379:B379"/>
    <mergeCell ref="A380:B380"/>
    <mergeCell ref="A381:B381"/>
    <mergeCell ref="A391:B391"/>
    <mergeCell ref="A432:B432"/>
    <mergeCell ref="A368:B368"/>
    <mergeCell ref="A370:B370"/>
    <mergeCell ref="A305:B305"/>
    <mergeCell ref="A306:B306"/>
    <mergeCell ref="A343:B343"/>
    <mergeCell ref="A342:B342"/>
    <mergeCell ref="A307:B307"/>
    <mergeCell ref="A345:B345"/>
    <mergeCell ref="A353:B353"/>
    <mergeCell ref="A348:B348"/>
    <mergeCell ref="O602:O608"/>
    <mergeCell ref="A212:B212"/>
    <mergeCell ref="A219:B219"/>
    <mergeCell ref="A226:B226"/>
    <mergeCell ref="A261:B261"/>
    <mergeCell ref="A254:B254"/>
    <mergeCell ref="A247:B247"/>
    <mergeCell ref="A443:G443"/>
    <mergeCell ref="A290:B290"/>
    <mergeCell ref="A297:B297"/>
    <mergeCell ref="O609:O615"/>
    <mergeCell ref="A82:B82"/>
    <mergeCell ref="A89:B89"/>
    <mergeCell ref="A96:B96"/>
    <mergeCell ref="A103:B103"/>
    <mergeCell ref="A110:B110"/>
    <mergeCell ref="A341:B341"/>
    <mergeCell ref="A240:B240"/>
    <mergeCell ref="A176:B176"/>
    <mergeCell ref="A183:B183"/>
    <mergeCell ref="N609:N615"/>
    <mergeCell ref="M602:M608"/>
    <mergeCell ref="N602:N608"/>
    <mergeCell ref="A385:G385"/>
    <mergeCell ref="A392:G392"/>
    <mergeCell ref="N544:N552"/>
    <mergeCell ref="A536:B536"/>
    <mergeCell ref="L457:L463"/>
    <mergeCell ref="A400:B400"/>
    <mergeCell ref="A464:G464"/>
    <mergeCell ref="A187:B187"/>
    <mergeCell ref="A175:B175"/>
    <mergeCell ref="A263:B263"/>
    <mergeCell ref="A190:B190"/>
    <mergeCell ref="L443:L449"/>
    <mergeCell ref="A198:B198"/>
    <mergeCell ref="A205:B205"/>
    <mergeCell ref="A195:B195"/>
    <mergeCell ref="A196:B196"/>
    <mergeCell ref="A286:B286"/>
    <mergeCell ref="M609:M615"/>
    <mergeCell ref="A269:B269"/>
    <mergeCell ref="A271:B271"/>
    <mergeCell ref="A273:B273"/>
    <mergeCell ref="A275:B275"/>
    <mergeCell ref="L312:L319"/>
    <mergeCell ref="L297:L303"/>
    <mergeCell ref="L567:L573"/>
    <mergeCell ref="A279:B279"/>
    <mergeCell ref="A364:G364"/>
    <mergeCell ref="A265:B265"/>
    <mergeCell ref="A272:B272"/>
    <mergeCell ref="A256:B256"/>
    <mergeCell ref="A274:B274"/>
    <mergeCell ref="A268:B268"/>
    <mergeCell ref="A266:B266"/>
    <mergeCell ref="A267:B267"/>
    <mergeCell ref="A233:B233"/>
    <mergeCell ref="A236:B236"/>
    <mergeCell ref="A191:B191"/>
    <mergeCell ref="L212:L218"/>
    <mergeCell ref="A72:B72"/>
    <mergeCell ref="A204:B204"/>
    <mergeCell ref="A207:B207"/>
    <mergeCell ref="A208:B208"/>
    <mergeCell ref="A234:B234"/>
    <mergeCell ref="A230:B230"/>
    <mergeCell ref="A71:B71"/>
    <mergeCell ref="L103:L109"/>
    <mergeCell ref="L110:L116"/>
    <mergeCell ref="M297:M303"/>
    <mergeCell ref="N297:N303"/>
    <mergeCell ref="M320:M325"/>
    <mergeCell ref="A315:B315"/>
    <mergeCell ref="A75:B75"/>
    <mergeCell ref="A73:B73"/>
    <mergeCell ref="A74:B74"/>
    <mergeCell ref="O191:O197"/>
    <mergeCell ref="L198:L204"/>
    <mergeCell ref="M198:M204"/>
    <mergeCell ref="N198:N204"/>
    <mergeCell ref="N191:N197"/>
    <mergeCell ref="O219:O225"/>
    <mergeCell ref="O198:O204"/>
    <mergeCell ref="N205:N211"/>
    <mergeCell ref="O240:O246"/>
    <mergeCell ref="M269:M275"/>
    <mergeCell ref="L8:O8"/>
    <mergeCell ref="L205:L211"/>
    <mergeCell ref="O297:O303"/>
    <mergeCell ref="M304:M310"/>
    <mergeCell ref="O117:O153"/>
    <mergeCell ref="M75:M81"/>
    <mergeCell ref="O110:O116"/>
    <mergeCell ref="O82:O88"/>
    <mergeCell ref="M970:M976"/>
    <mergeCell ref="N970:N976"/>
    <mergeCell ref="O970:O976"/>
    <mergeCell ref="M96:M102"/>
    <mergeCell ref="N96:N102"/>
    <mergeCell ref="N183:N190"/>
    <mergeCell ref="O183:O190"/>
    <mergeCell ref="O544:O552"/>
    <mergeCell ref="M240:M246"/>
    <mergeCell ref="N240:N246"/>
    <mergeCell ref="A1232:B1232"/>
    <mergeCell ref="A1324:B1324"/>
    <mergeCell ref="A1065:B1065"/>
    <mergeCell ref="A1058:B1058"/>
    <mergeCell ref="A1053:B1053"/>
    <mergeCell ref="A1067:B1067"/>
    <mergeCell ref="A1077:B1077"/>
    <mergeCell ref="A1070:B1070"/>
    <mergeCell ref="A1083:B1083"/>
    <mergeCell ref="A1063:B1063"/>
    <mergeCell ref="A722:B722"/>
    <mergeCell ref="A849:B849"/>
    <mergeCell ref="A856:B856"/>
    <mergeCell ref="A870:B870"/>
    <mergeCell ref="A970:B970"/>
    <mergeCell ref="A740:B740"/>
    <mergeCell ref="A733:B733"/>
    <mergeCell ref="A736:B736"/>
    <mergeCell ref="A757:B757"/>
    <mergeCell ref="A873:B873"/>
    <mergeCell ref="A570:B570"/>
    <mergeCell ref="A571:B571"/>
    <mergeCell ref="A412:B412"/>
    <mergeCell ref="A544:G544"/>
    <mergeCell ref="A543:B543"/>
    <mergeCell ref="A471:G471"/>
    <mergeCell ref="A513:G513"/>
    <mergeCell ref="A546:B546"/>
    <mergeCell ref="A548:B548"/>
    <mergeCell ref="A552:B552"/>
    <mergeCell ref="A572:B572"/>
    <mergeCell ref="A573:B573"/>
    <mergeCell ref="A535:B535"/>
    <mergeCell ref="A323:B323"/>
    <mergeCell ref="A324:B324"/>
    <mergeCell ref="A325:B325"/>
    <mergeCell ref="A541:B541"/>
    <mergeCell ref="A542:B542"/>
    <mergeCell ref="A568:B568"/>
    <mergeCell ref="A569:B569"/>
    <mergeCell ref="A1008:B1008"/>
    <mergeCell ref="A322:B322"/>
    <mergeCell ref="A319:B319"/>
    <mergeCell ref="M312:M319"/>
    <mergeCell ref="N312:N319"/>
    <mergeCell ref="A320:B320"/>
    <mergeCell ref="A321:B321"/>
    <mergeCell ref="A313:B313"/>
    <mergeCell ref="A314:B314"/>
    <mergeCell ref="A357:B357"/>
    <mergeCell ref="O1012:O1018"/>
    <mergeCell ref="A1017:B1017"/>
    <mergeCell ref="A1018:B1018"/>
    <mergeCell ref="A1004:B1004"/>
    <mergeCell ref="A1012:B1012"/>
    <mergeCell ref="A1013:B1013"/>
    <mergeCell ref="A1014:B1014"/>
    <mergeCell ref="A1015:B1015"/>
    <mergeCell ref="A1016:B1016"/>
    <mergeCell ref="A1005:B1005"/>
    <mergeCell ref="L1012:L1018"/>
    <mergeCell ref="M998:M1004"/>
    <mergeCell ref="A1011:B1011"/>
    <mergeCell ref="N168:N174"/>
    <mergeCell ref="A1009:B1009"/>
    <mergeCell ref="M1012:M1018"/>
    <mergeCell ref="N1012:N1018"/>
    <mergeCell ref="A1006:B1006"/>
    <mergeCell ref="N998:N1004"/>
    <mergeCell ref="A1007:B1007"/>
    <mergeCell ref="A1196:B1196"/>
    <mergeCell ref="O998:O1004"/>
    <mergeCell ref="M1005:M1011"/>
    <mergeCell ref="N1005:N1011"/>
    <mergeCell ref="O1005:O1011"/>
    <mergeCell ref="M205:M211"/>
    <mergeCell ref="M212:M218"/>
    <mergeCell ref="N212:N218"/>
    <mergeCell ref="O312:O319"/>
    <mergeCell ref="O212:O218"/>
    <mergeCell ref="A1197:B1197"/>
    <mergeCell ref="L1191:L1197"/>
    <mergeCell ref="M1191:M1197"/>
    <mergeCell ref="N1191:N1197"/>
    <mergeCell ref="O1191:O1197"/>
    <mergeCell ref="A1191:B1191"/>
    <mergeCell ref="A1192:B1192"/>
    <mergeCell ref="A1193:B1193"/>
    <mergeCell ref="A1194:B1194"/>
    <mergeCell ref="A1195:B1195"/>
  </mergeCells>
  <printOptions/>
  <pageMargins left="0.2362204724409449" right="0.2362204724409449" top="0" bottom="0" header="0.31496062992125984" footer="0"/>
  <pageSetup fitToHeight="0" fitToWidth="1" horizontalDpi="600" verticalDpi="600" orientation="landscape" paperSize="9" scale="98" r:id="rId1"/>
  <headerFooter>
    <oddHeader>&amp;CСтраница &amp;P</oddHeader>
    <oddFooter>&amp;CСтраница &amp;P</oddFooter>
  </headerFooter>
  <rowBreaks count="18" manualBreakCount="18">
    <brk id="544" max="34" man="1"/>
    <brk id="560" max="34" man="1"/>
    <brk id="595" max="34" man="1"/>
    <brk id="721" max="34" man="1"/>
    <brk id="763" max="34" man="1"/>
    <brk id="798" max="34" man="1"/>
    <brk id="827" max="34" man="1"/>
    <brk id="904" max="34" man="1"/>
    <brk id="940" max="34" man="1"/>
    <brk id="1026" max="34" man="1"/>
    <brk id="1095" max="34" man="1"/>
    <brk id="1125" max="34" man="1"/>
    <brk id="1155" max="34" man="1"/>
    <brk id="1210" max="34" man="1"/>
    <brk id="1238" max="34" man="1"/>
    <brk id="1307" max="34" man="1"/>
    <brk id="1337" max="34" man="1"/>
    <brk id="1374" max="34" man="1"/>
  </rowBreaks>
</worksheet>
</file>

<file path=xl/worksheets/sheet2.xml><?xml version="1.0" encoding="utf-8"?>
<worksheet xmlns="http://schemas.openxmlformats.org/spreadsheetml/2006/main" xmlns:r="http://schemas.openxmlformats.org/officeDocument/2006/relationships">
  <sheetPr>
    <pageSetUpPr fitToPage="1"/>
  </sheetPr>
  <dimension ref="A1:N82"/>
  <sheetViews>
    <sheetView tabSelected="1" view="pageBreakPreview" zoomScale="80" zoomScaleNormal="80" zoomScaleSheetLayoutView="80" zoomScalePageLayoutView="0" workbookViewId="0" topLeftCell="A1">
      <pane ySplit="11" topLeftCell="A13" activePane="bottomLeft" state="frozen"/>
      <selection pane="topLeft" activeCell="A1" sqref="A1"/>
      <selection pane="bottomLeft" activeCell="J16" sqref="J16"/>
    </sheetView>
  </sheetViews>
  <sheetFormatPr defaultColWidth="8.8515625" defaultRowHeight="15"/>
  <cols>
    <col min="1" max="1" width="8.8515625" style="279" customWidth="1"/>
    <col min="2" max="2" width="56.00390625" style="279" customWidth="1"/>
    <col min="3" max="3" width="13.421875" style="279" customWidth="1"/>
    <col min="4" max="4" width="11.00390625" style="279" customWidth="1"/>
    <col min="5" max="5" width="12.28125" style="279" customWidth="1"/>
    <col min="6" max="6" width="13.8515625" style="279" customWidth="1"/>
    <col min="7" max="7" width="12.28125" style="279" customWidth="1"/>
    <col min="8" max="8" width="11.00390625" style="279" customWidth="1"/>
    <col min="9" max="9" width="11.28125" style="279" customWidth="1"/>
    <col min="10" max="10" width="13.7109375" style="279" customWidth="1"/>
    <col min="11" max="12" width="13.421875" style="279" customWidth="1"/>
    <col min="13" max="16384" width="8.8515625" style="279" customWidth="1"/>
  </cols>
  <sheetData>
    <row r="1" spans="9:12" ht="18" customHeight="1">
      <c r="I1" s="475" t="s">
        <v>542</v>
      </c>
      <c r="J1" s="475"/>
      <c r="K1" s="475"/>
      <c r="L1" s="475"/>
    </row>
    <row r="2" spans="9:12" ht="18" customHeight="1">
      <c r="I2" s="277"/>
      <c r="J2" s="277"/>
      <c r="K2" s="277"/>
      <c r="L2" s="277"/>
    </row>
    <row r="3" spans="1:12" ht="18" customHeight="1">
      <c r="A3" s="476" t="s">
        <v>535</v>
      </c>
      <c r="B3" s="476"/>
      <c r="C3" s="476"/>
      <c r="D3" s="476"/>
      <c r="E3" s="476"/>
      <c r="F3" s="476"/>
      <c r="G3" s="476"/>
      <c r="H3" s="476"/>
      <c r="I3" s="476"/>
      <c r="J3" s="476"/>
      <c r="K3" s="476"/>
      <c r="L3" s="476"/>
    </row>
    <row r="4" spans="1:12" ht="18" customHeight="1">
      <c r="A4" s="476" t="s">
        <v>536</v>
      </c>
      <c r="B4" s="476"/>
      <c r="C4" s="476"/>
      <c r="D4" s="476"/>
      <c r="E4" s="476"/>
      <c r="F4" s="476"/>
      <c r="G4" s="476"/>
      <c r="H4" s="476"/>
      <c r="I4" s="476"/>
      <c r="J4" s="476"/>
      <c r="K4" s="476"/>
      <c r="L4" s="476"/>
    </row>
    <row r="5" spans="1:12" ht="18" customHeight="1">
      <c r="A5" s="476" t="s">
        <v>537</v>
      </c>
      <c r="B5" s="476"/>
      <c r="C5" s="476"/>
      <c r="D5" s="476"/>
      <c r="E5" s="476"/>
      <c r="F5" s="476"/>
      <c r="G5" s="476"/>
      <c r="H5" s="476"/>
      <c r="I5" s="476"/>
      <c r="J5" s="476"/>
      <c r="K5" s="476"/>
      <c r="L5" s="476"/>
    </row>
    <row r="6" spans="1:12" ht="18" customHeight="1">
      <c r="A6" s="476" t="s">
        <v>538</v>
      </c>
      <c r="B6" s="476"/>
      <c r="C6" s="476"/>
      <c r="D6" s="476"/>
      <c r="E6" s="476"/>
      <c r="F6" s="476"/>
      <c r="G6" s="476"/>
      <c r="H6" s="476"/>
      <c r="I6" s="476"/>
      <c r="J6" s="476"/>
      <c r="K6" s="476"/>
      <c r="L6" s="476"/>
    </row>
    <row r="9" spans="1:12" s="278" customFormat="1" ht="18.75">
      <c r="A9" s="477" t="s">
        <v>106</v>
      </c>
      <c r="B9" s="477" t="s">
        <v>482</v>
      </c>
      <c r="C9" s="477" t="s">
        <v>483</v>
      </c>
      <c r="D9" s="477" t="s">
        <v>527</v>
      </c>
      <c r="E9" s="477"/>
      <c r="F9" s="477"/>
      <c r="G9" s="477"/>
      <c r="H9" s="477"/>
      <c r="I9" s="477"/>
      <c r="J9" s="477"/>
      <c r="K9" s="477"/>
      <c r="L9" s="477"/>
    </row>
    <row r="10" spans="1:14" s="278" customFormat="1" ht="75">
      <c r="A10" s="477"/>
      <c r="B10" s="477"/>
      <c r="C10" s="477"/>
      <c r="D10" s="289" t="s">
        <v>484</v>
      </c>
      <c r="E10" s="289" t="s">
        <v>485</v>
      </c>
      <c r="F10" s="289" t="s">
        <v>486</v>
      </c>
      <c r="G10" s="285">
        <v>2017</v>
      </c>
      <c r="H10" s="285">
        <v>2018</v>
      </c>
      <c r="I10" s="285">
        <v>2019</v>
      </c>
      <c r="J10" s="285">
        <v>2020</v>
      </c>
      <c r="K10" s="285">
        <v>2021</v>
      </c>
      <c r="L10" s="285">
        <v>2022</v>
      </c>
      <c r="M10" s="287"/>
      <c r="N10" s="287"/>
    </row>
    <row r="11" spans="1:12" s="287" customFormat="1" ht="18.75">
      <c r="A11" s="285">
        <v>1</v>
      </c>
      <c r="B11" s="285">
        <v>2</v>
      </c>
      <c r="C11" s="285">
        <v>3</v>
      </c>
      <c r="D11" s="285">
        <v>4</v>
      </c>
      <c r="E11" s="285">
        <v>5</v>
      </c>
      <c r="F11" s="285">
        <v>6</v>
      </c>
      <c r="G11" s="285">
        <v>7</v>
      </c>
      <c r="H11" s="285">
        <v>8</v>
      </c>
      <c r="I11" s="285">
        <v>9</v>
      </c>
      <c r="J11" s="285">
        <v>10</v>
      </c>
      <c r="K11" s="285">
        <v>11</v>
      </c>
      <c r="L11" s="285">
        <v>12</v>
      </c>
    </row>
    <row r="12" spans="1:12" s="280" customFormat="1" ht="18.75">
      <c r="A12" s="478" t="s">
        <v>487</v>
      </c>
      <c r="B12" s="478"/>
      <c r="C12" s="478"/>
      <c r="D12" s="478"/>
      <c r="E12" s="478"/>
      <c r="F12" s="478"/>
      <c r="G12" s="478"/>
      <c r="H12" s="478"/>
      <c r="I12" s="478"/>
      <c r="J12" s="478"/>
      <c r="K12" s="478"/>
      <c r="L12" s="478"/>
    </row>
    <row r="13" spans="1:12" s="280" customFormat="1" ht="75">
      <c r="A13" s="285" t="s">
        <v>121</v>
      </c>
      <c r="B13" s="240" t="s">
        <v>488</v>
      </c>
      <c r="C13" s="285" t="s">
        <v>489</v>
      </c>
      <c r="D13" s="290">
        <v>22.5</v>
      </c>
      <c r="E13" s="290">
        <v>23.8</v>
      </c>
      <c r="F13" s="290">
        <v>25.3</v>
      </c>
      <c r="G13" s="290">
        <v>27.4</v>
      </c>
      <c r="H13" s="290">
        <v>29.5</v>
      </c>
      <c r="I13" s="290">
        <v>32.7</v>
      </c>
      <c r="J13" s="530">
        <v>37.9</v>
      </c>
      <c r="K13" s="530">
        <v>41.8</v>
      </c>
      <c r="L13" s="530">
        <v>46.3</v>
      </c>
    </row>
    <row r="14" spans="1:12" s="280" customFormat="1" ht="131.25">
      <c r="A14" s="285" t="s">
        <v>123</v>
      </c>
      <c r="B14" s="240" t="s">
        <v>490</v>
      </c>
      <c r="C14" s="285" t="s">
        <v>489</v>
      </c>
      <c r="D14" s="290">
        <v>26.8</v>
      </c>
      <c r="E14" s="290">
        <v>26.9</v>
      </c>
      <c r="F14" s="290">
        <v>26.95</v>
      </c>
      <c r="G14" s="290">
        <v>27</v>
      </c>
      <c r="H14" s="290">
        <v>27</v>
      </c>
      <c r="I14" s="290">
        <v>28</v>
      </c>
      <c r="J14" s="290">
        <v>29</v>
      </c>
      <c r="K14" s="290">
        <v>30</v>
      </c>
      <c r="L14" s="290">
        <v>30</v>
      </c>
    </row>
    <row r="15" spans="1:12" s="280" customFormat="1" ht="75">
      <c r="A15" s="285" t="s">
        <v>124</v>
      </c>
      <c r="B15" s="240" t="s">
        <v>491</v>
      </c>
      <c r="C15" s="285" t="s">
        <v>489</v>
      </c>
      <c r="D15" s="290">
        <v>46.9</v>
      </c>
      <c r="E15" s="290">
        <v>66.3</v>
      </c>
      <c r="F15" s="290">
        <v>66.4</v>
      </c>
      <c r="G15" s="290">
        <v>66.7</v>
      </c>
      <c r="H15" s="290">
        <v>69.2</v>
      </c>
      <c r="I15" s="290">
        <v>72.5</v>
      </c>
      <c r="J15" s="290" t="s">
        <v>86</v>
      </c>
      <c r="K15" s="290" t="s">
        <v>86</v>
      </c>
      <c r="L15" s="290" t="s">
        <v>86</v>
      </c>
    </row>
    <row r="16" spans="1:12" s="280" customFormat="1" ht="93.75">
      <c r="A16" s="285" t="s">
        <v>528</v>
      </c>
      <c r="B16" s="240" t="s">
        <v>492</v>
      </c>
      <c r="C16" s="285" t="s">
        <v>489</v>
      </c>
      <c r="D16" s="290">
        <v>3.1</v>
      </c>
      <c r="E16" s="290">
        <v>3.9</v>
      </c>
      <c r="F16" s="290">
        <v>7.8</v>
      </c>
      <c r="G16" s="290">
        <v>8.7</v>
      </c>
      <c r="H16" s="290">
        <v>10.3</v>
      </c>
      <c r="I16" s="290">
        <v>12.4</v>
      </c>
      <c r="J16" s="290">
        <v>17.6</v>
      </c>
      <c r="K16" s="290"/>
      <c r="L16" s="290"/>
    </row>
    <row r="17" spans="1:12" s="280" customFormat="1" ht="75">
      <c r="A17" s="285" t="s">
        <v>529</v>
      </c>
      <c r="B17" s="240" t="s">
        <v>493</v>
      </c>
      <c r="C17" s="285" t="s">
        <v>489</v>
      </c>
      <c r="D17" s="290"/>
      <c r="E17" s="290">
        <v>6.7</v>
      </c>
      <c r="F17" s="290">
        <v>11.5</v>
      </c>
      <c r="G17" s="290">
        <v>13.5</v>
      </c>
      <c r="H17" s="290">
        <v>16.6</v>
      </c>
      <c r="I17" s="290">
        <v>18.5</v>
      </c>
      <c r="J17" s="290" t="s">
        <v>86</v>
      </c>
      <c r="K17" s="290" t="s">
        <v>86</v>
      </c>
      <c r="L17" s="290" t="s">
        <v>86</v>
      </c>
    </row>
    <row r="18" spans="1:12" s="280" customFormat="1" ht="187.5">
      <c r="A18" s="285" t="s">
        <v>530</v>
      </c>
      <c r="B18" s="240" t="s">
        <v>494</v>
      </c>
      <c r="C18" s="285" t="s">
        <v>489</v>
      </c>
      <c r="D18" s="285"/>
      <c r="E18" s="285"/>
      <c r="F18" s="285"/>
      <c r="G18" s="285"/>
      <c r="H18" s="285">
        <v>10</v>
      </c>
      <c r="I18" s="285">
        <v>10</v>
      </c>
      <c r="J18" s="285">
        <v>10</v>
      </c>
      <c r="K18" s="285">
        <v>10</v>
      </c>
      <c r="L18" s="285">
        <v>10</v>
      </c>
    </row>
    <row r="19" spans="1:12" s="280" customFormat="1" ht="56.25">
      <c r="A19" s="285" t="s">
        <v>570</v>
      </c>
      <c r="B19" s="240" t="s">
        <v>638</v>
      </c>
      <c r="C19" s="285" t="s">
        <v>489</v>
      </c>
      <c r="D19" s="285"/>
      <c r="E19" s="285"/>
      <c r="F19" s="285"/>
      <c r="G19" s="285"/>
      <c r="H19" s="285"/>
      <c r="I19" s="290">
        <v>64.5</v>
      </c>
      <c r="J19" s="290">
        <v>68.5</v>
      </c>
      <c r="K19" s="290">
        <v>72</v>
      </c>
      <c r="L19" s="290">
        <v>75.5</v>
      </c>
    </row>
    <row r="20" spans="1:12" s="280" customFormat="1" ht="75">
      <c r="A20" s="285" t="s">
        <v>639</v>
      </c>
      <c r="B20" s="240" t="s">
        <v>640</v>
      </c>
      <c r="C20" s="285" t="s">
        <v>489</v>
      </c>
      <c r="D20" s="285"/>
      <c r="E20" s="285"/>
      <c r="F20" s="285"/>
      <c r="G20" s="285"/>
      <c r="H20" s="285"/>
      <c r="I20" s="290">
        <v>24</v>
      </c>
      <c r="J20" s="290">
        <v>29</v>
      </c>
      <c r="K20" s="290">
        <v>34</v>
      </c>
      <c r="L20" s="290">
        <v>40</v>
      </c>
    </row>
    <row r="21" spans="1:12" s="280" customFormat="1" ht="75">
      <c r="A21" s="285" t="s">
        <v>641</v>
      </c>
      <c r="B21" s="240" t="s">
        <v>642</v>
      </c>
      <c r="C21" s="285" t="s">
        <v>489</v>
      </c>
      <c r="D21" s="285"/>
      <c r="E21" s="285"/>
      <c r="F21" s="285"/>
      <c r="G21" s="285"/>
      <c r="H21" s="285"/>
      <c r="I21" s="290">
        <v>9.4</v>
      </c>
      <c r="J21" s="290">
        <v>12</v>
      </c>
      <c r="K21" s="290">
        <v>15</v>
      </c>
      <c r="L21" s="290">
        <v>18</v>
      </c>
    </row>
    <row r="22" spans="1:12" s="280" customFormat="1" ht="18.75">
      <c r="A22" s="478" t="s">
        <v>495</v>
      </c>
      <c r="B22" s="478"/>
      <c r="C22" s="478"/>
      <c r="D22" s="478"/>
      <c r="E22" s="478"/>
      <c r="F22" s="478"/>
      <c r="G22" s="478"/>
      <c r="H22" s="478"/>
      <c r="I22" s="478"/>
      <c r="J22" s="478"/>
      <c r="K22" s="478"/>
      <c r="L22" s="478"/>
    </row>
    <row r="23" spans="1:12" s="280" customFormat="1" ht="112.5">
      <c r="A23" s="285" t="s">
        <v>125</v>
      </c>
      <c r="B23" s="240" t="s">
        <v>496</v>
      </c>
      <c r="C23" s="285" t="s">
        <v>489</v>
      </c>
      <c r="D23" s="290">
        <v>34</v>
      </c>
      <c r="E23" s="290">
        <v>48</v>
      </c>
      <c r="F23" s="290">
        <v>48.1</v>
      </c>
      <c r="G23" s="290">
        <v>48.2</v>
      </c>
      <c r="H23" s="290">
        <v>48.3</v>
      </c>
      <c r="I23" s="290">
        <v>49</v>
      </c>
      <c r="J23" s="290">
        <v>50</v>
      </c>
      <c r="K23" s="290">
        <v>50</v>
      </c>
      <c r="L23" s="290">
        <v>50</v>
      </c>
    </row>
    <row r="24" spans="1:12" s="280" customFormat="1" ht="131.25">
      <c r="A24" s="285" t="s">
        <v>128</v>
      </c>
      <c r="B24" s="240" t="s">
        <v>497</v>
      </c>
      <c r="C24" s="285" t="s">
        <v>489</v>
      </c>
      <c r="D24" s="290">
        <v>0.77</v>
      </c>
      <c r="E24" s="290">
        <v>0.97</v>
      </c>
      <c r="F24" s="290">
        <v>0.98</v>
      </c>
      <c r="G24" s="290">
        <v>0.99</v>
      </c>
      <c r="H24" s="290">
        <v>40</v>
      </c>
      <c r="I24" s="290">
        <v>40.5</v>
      </c>
      <c r="J24" s="290">
        <v>41</v>
      </c>
      <c r="K24" s="290">
        <v>41.5</v>
      </c>
      <c r="L24" s="290">
        <v>41.5</v>
      </c>
    </row>
    <row r="25" spans="1:12" s="280" customFormat="1" ht="37.5">
      <c r="A25" s="285" t="s">
        <v>129</v>
      </c>
      <c r="B25" s="240" t="s">
        <v>498</v>
      </c>
      <c r="C25" s="285" t="s">
        <v>499</v>
      </c>
      <c r="D25" s="291">
        <v>4412</v>
      </c>
      <c r="E25" s="291">
        <v>4656</v>
      </c>
      <c r="F25" s="291">
        <v>4660</v>
      </c>
      <c r="G25" s="291">
        <v>4710</v>
      </c>
      <c r="H25" s="291">
        <v>4770</v>
      </c>
      <c r="I25" s="291">
        <v>4785</v>
      </c>
      <c r="J25" s="291">
        <v>4800</v>
      </c>
      <c r="K25" s="291">
        <v>5000</v>
      </c>
      <c r="L25" s="291">
        <v>5000</v>
      </c>
    </row>
    <row r="26" spans="1:12" s="280" customFormat="1" ht="75">
      <c r="A26" s="285" t="s">
        <v>261</v>
      </c>
      <c r="B26" s="240" t="s">
        <v>500</v>
      </c>
      <c r="C26" s="285" t="s">
        <v>489</v>
      </c>
      <c r="D26" s="290">
        <v>36.7</v>
      </c>
      <c r="E26" s="290">
        <v>37.2</v>
      </c>
      <c r="F26" s="290">
        <v>37.8</v>
      </c>
      <c r="G26" s="290">
        <v>38.3</v>
      </c>
      <c r="H26" s="290">
        <v>38.8</v>
      </c>
      <c r="I26" s="290">
        <v>39.3</v>
      </c>
      <c r="J26" s="290">
        <v>39.8</v>
      </c>
      <c r="K26" s="290">
        <v>40</v>
      </c>
      <c r="L26" s="290">
        <v>40</v>
      </c>
    </row>
    <row r="27" spans="1:12" s="280" customFormat="1" ht="75">
      <c r="A27" s="285" t="s">
        <v>531</v>
      </c>
      <c r="B27" s="240" t="s">
        <v>501</v>
      </c>
      <c r="C27" s="285" t="s">
        <v>489</v>
      </c>
      <c r="D27" s="290">
        <v>41.7</v>
      </c>
      <c r="E27" s="290">
        <v>43.25</v>
      </c>
      <c r="F27" s="290">
        <v>43.5</v>
      </c>
      <c r="G27" s="290">
        <v>44</v>
      </c>
      <c r="H27" s="290">
        <v>45</v>
      </c>
      <c r="I27" s="290">
        <v>45.3</v>
      </c>
      <c r="J27" s="290">
        <v>45.5</v>
      </c>
      <c r="K27" s="290">
        <v>46</v>
      </c>
      <c r="L27" s="290">
        <v>46</v>
      </c>
    </row>
    <row r="28" spans="1:12" s="280" customFormat="1" ht="150">
      <c r="A28" s="285" t="s">
        <v>532</v>
      </c>
      <c r="B28" s="240" t="s">
        <v>502</v>
      </c>
      <c r="C28" s="285" t="s">
        <v>489</v>
      </c>
      <c r="D28" s="290">
        <v>23.7</v>
      </c>
      <c r="E28" s="290">
        <v>15.63</v>
      </c>
      <c r="F28" s="290">
        <v>16</v>
      </c>
      <c r="G28" s="290">
        <v>17</v>
      </c>
      <c r="H28" s="290">
        <v>18</v>
      </c>
      <c r="I28" s="290">
        <v>18.5</v>
      </c>
      <c r="J28" s="290">
        <v>19</v>
      </c>
      <c r="K28" s="290">
        <v>19.5</v>
      </c>
      <c r="L28" s="290">
        <v>19.5</v>
      </c>
    </row>
    <row r="29" spans="1:12" s="280" customFormat="1" ht="131.25">
      <c r="A29" s="285" t="s">
        <v>533</v>
      </c>
      <c r="B29" s="240" t="s">
        <v>503</v>
      </c>
      <c r="C29" s="285" t="s">
        <v>489</v>
      </c>
      <c r="D29" s="290">
        <v>2.85</v>
      </c>
      <c r="E29" s="290">
        <v>5.7</v>
      </c>
      <c r="F29" s="290">
        <v>5.8</v>
      </c>
      <c r="G29" s="290">
        <v>5.9</v>
      </c>
      <c r="H29" s="290">
        <v>6</v>
      </c>
      <c r="I29" s="290">
        <v>6.1</v>
      </c>
      <c r="J29" s="290">
        <v>6.2</v>
      </c>
      <c r="K29" s="290">
        <v>6.5</v>
      </c>
      <c r="L29" s="290">
        <v>6.5</v>
      </c>
    </row>
    <row r="30" spans="1:12" s="280" customFormat="1" ht="243.75">
      <c r="A30" s="285" t="s">
        <v>504</v>
      </c>
      <c r="B30" s="240" t="s">
        <v>505</v>
      </c>
      <c r="C30" s="285" t="s">
        <v>489</v>
      </c>
      <c r="D30" s="285"/>
      <c r="E30" s="285"/>
      <c r="F30" s="285"/>
      <c r="G30" s="285"/>
      <c r="H30" s="285">
        <v>90</v>
      </c>
      <c r="I30" s="285">
        <v>95</v>
      </c>
      <c r="J30" s="285">
        <v>100</v>
      </c>
      <c r="K30" s="285" t="s">
        <v>86</v>
      </c>
      <c r="L30" s="285" t="s">
        <v>86</v>
      </c>
    </row>
    <row r="31" spans="1:12" s="280" customFormat="1" ht="75">
      <c r="A31" s="285" t="s">
        <v>643</v>
      </c>
      <c r="B31" s="240" t="s">
        <v>644</v>
      </c>
      <c r="C31" s="285" t="s">
        <v>489</v>
      </c>
      <c r="D31" s="285"/>
      <c r="E31" s="285"/>
      <c r="F31" s="285"/>
      <c r="G31" s="285"/>
      <c r="H31" s="285"/>
      <c r="I31" s="285">
        <v>100</v>
      </c>
      <c r="J31" s="285">
        <v>100</v>
      </c>
      <c r="K31" s="285">
        <v>100</v>
      </c>
      <c r="L31" s="285">
        <v>100</v>
      </c>
    </row>
    <row r="32" spans="1:12" s="280" customFormat="1" ht="18.75">
      <c r="A32" s="478" t="s">
        <v>506</v>
      </c>
      <c r="B32" s="478"/>
      <c r="C32" s="478"/>
      <c r="D32" s="478"/>
      <c r="E32" s="478"/>
      <c r="F32" s="478"/>
      <c r="G32" s="478"/>
      <c r="H32" s="478"/>
      <c r="I32" s="478"/>
      <c r="J32" s="478"/>
      <c r="K32" s="478"/>
      <c r="L32" s="478"/>
    </row>
    <row r="33" spans="1:12" s="280" customFormat="1" ht="75">
      <c r="A33" s="285" t="s">
        <v>131</v>
      </c>
      <c r="B33" s="240" t="s">
        <v>507</v>
      </c>
      <c r="C33" s="285" t="s">
        <v>489</v>
      </c>
      <c r="D33" s="290">
        <v>38.1</v>
      </c>
      <c r="E33" s="290">
        <v>43.7</v>
      </c>
      <c r="F33" s="290">
        <v>43.8</v>
      </c>
      <c r="G33" s="290">
        <v>43.9</v>
      </c>
      <c r="H33" s="290">
        <v>70.2</v>
      </c>
      <c r="I33" s="290">
        <v>79</v>
      </c>
      <c r="J33" s="290">
        <v>79.7</v>
      </c>
      <c r="K33" s="290">
        <v>80.5</v>
      </c>
      <c r="L33" s="290">
        <v>81.2</v>
      </c>
    </row>
    <row r="34" spans="1:12" s="280" customFormat="1" ht="93.75">
      <c r="A34" s="285" t="s">
        <v>132</v>
      </c>
      <c r="B34" s="240" t="s">
        <v>508</v>
      </c>
      <c r="C34" s="285" t="s">
        <v>509</v>
      </c>
      <c r="D34" s="285">
        <v>110</v>
      </c>
      <c r="E34" s="285">
        <v>115</v>
      </c>
      <c r="F34" s="285">
        <v>120</v>
      </c>
      <c r="G34" s="285">
        <v>170</v>
      </c>
      <c r="H34" s="285">
        <v>204</v>
      </c>
      <c r="I34" s="285">
        <v>220</v>
      </c>
      <c r="J34" s="285">
        <v>227</v>
      </c>
      <c r="K34" s="285">
        <v>250</v>
      </c>
      <c r="L34" s="285">
        <v>250</v>
      </c>
    </row>
    <row r="35" spans="1:12" s="280" customFormat="1" ht="37.5">
      <c r="A35" s="285" t="s">
        <v>133</v>
      </c>
      <c r="B35" s="240" t="s">
        <v>457</v>
      </c>
      <c r="C35" s="285" t="s">
        <v>489</v>
      </c>
      <c r="D35" s="290">
        <v>19</v>
      </c>
      <c r="E35" s="290">
        <v>28.96</v>
      </c>
      <c r="F35" s="290">
        <v>29</v>
      </c>
      <c r="G35" s="290">
        <v>29.5</v>
      </c>
      <c r="H35" s="290">
        <v>30</v>
      </c>
      <c r="I35" s="290">
        <v>31</v>
      </c>
      <c r="J35" s="290">
        <v>33</v>
      </c>
      <c r="K35" s="290">
        <v>35</v>
      </c>
      <c r="L35" s="290">
        <v>34</v>
      </c>
    </row>
    <row r="36" spans="1:12" s="280" customFormat="1" ht="37.5">
      <c r="A36" s="285" t="s">
        <v>167</v>
      </c>
      <c r="B36" s="240" t="s">
        <v>630</v>
      </c>
      <c r="C36" s="285" t="s">
        <v>631</v>
      </c>
      <c r="D36" s="291">
        <v>0</v>
      </c>
      <c r="E36" s="291">
        <v>0</v>
      </c>
      <c r="F36" s="291">
        <v>0</v>
      </c>
      <c r="G36" s="291">
        <v>0</v>
      </c>
      <c r="H36" s="291">
        <v>0</v>
      </c>
      <c r="I36" s="291">
        <v>0</v>
      </c>
      <c r="J36" s="291">
        <v>1</v>
      </c>
      <c r="K36" s="291">
        <v>0</v>
      </c>
      <c r="L36" s="291">
        <v>0</v>
      </c>
    </row>
    <row r="37" spans="1:12" s="280" customFormat="1" ht="18.75">
      <c r="A37" s="478" t="s">
        <v>510</v>
      </c>
      <c r="B37" s="478"/>
      <c r="C37" s="478"/>
      <c r="D37" s="478"/>
      <c r="E37" s="478"/>
      <c r="F37" s="478"/>
      <c r="G37" s="478"/>
      <c r="H37" s="478"/>
      <c r="I37" s="478"/>
      <c r="J37" s="478"/>
      <c r="K37" s="478"/>
      <c r="L37" s="478"/>
    </row>
    <row r="38" spans="1:12" s="280" customFormat="1" ht="93.75">
      <c r="A38" s="285" t="s">
        <v>134</v>
      </c>
      <c r="B38" s="240" t="s">
        <v>511</v>
      </c>
      <c r="C38" s="285" t="s">
        <v>512</v>
      </c>
      <c r="D38" s="285">
        <v>57</v>
      </c>
      <c r="E38" s="285">
        <v>51</v>
      </c>
      <c r="F38" s="285">
        <v>59</v>
      </c>
      <c r="G38" s="285">
        <v>60</v>
      </c>
      <c r="H38" s="285">
        <v>60</v>
      </c>
      <c r="I38" s="285">
        <v>61</v>
      </c>
      <c r="J38" s="285">
        <v>62</v>
      </c>
      <c r="K38" s="285">
        <v>63</v>
      </c>
      <c r="L38" s="285">
        <v>63</v>
      </c>
    </row>
    <row r="39" spans="1:12" ht="37.5">
      <c r="A39" s="291" t="s">
        <v>137</v>
      </c>
      <c r="B39" s="292" t="s">
        <v>513</v>
      </c>
      <c r="C39" s="291" t="s">
        <v>514</v>
      </c>
      <c r="D39" s="291">
        <v>2540</v>
      </c>
      <c r="E39" s="291">
        <v>2620</v>
      </c>
      <c r="F39" s="291">
        <v>2700</v>
      </c>
      <c r="G39" s="291">
        <v>2700</v>
      </c>
      <c r="H39" s="291">
        <v>2700</v>
      </c>
      <c r="I39" s="291">
        <v>2710</v>
      </c>
      <c r="J39" s="291">
        <v>2720</v>
      </c>
      <c r="K39" s="291">
        <v>2730</v>
      </c>
      <c r="L39" s="291">
        <v>2730</v>
      </c>
    </row>
    <row r="40" spans="1:12" ht="37.5">
      <c r="A40" s="291" t="s">
        <v>188</v>
      </c>
      <c r="B40" s="292" t="s">
        <v>515</v>
      </c>
      <c r="C40" s="291" t="s">
        <v>512</v>
      </c>
      <c r="D40" s="291">
        <v>15</v>
      </c>
      <c r="E40" s="291">
        <v>14</v>
      </c>
      <c r="F40" s="291">
        <v>15</v>
      </c>
      <c r="G40" s="291">
        <v>16</v>
      </c>
      <c r="H40" s="291">
        <v>18</v>
      </c>
      <c r="I40" s="291">
        <v>18</v>
      </c>
      <c r="J40" s="291">
        <v>18</v>
      </c>
      <c r="K40" s="291">
        <v>18</v>
      </c>
      <c r="L40" s="291">
        <v>18</v>
      </c>
    </row>
    <row r="41" spans="1:12" ht="37.5">
      <c r="A41" s="291" t="s">
        <v>139</v>
      </c>
      <c r="B41" s="292" t="s">
        <v>516</v>
      </c>
      <c r="C41" s="291" t="s">
        <v>514</v>
      </c>
      <c r="D41" s="291">
        <v>19450</v>
      </c>
      <c r="E41" s="291">
        <v>17000</v>
      </c>
      <c r="F41" s="291">
        <v>17100</v>
      </c>
      <c r="G41" s="291">
        <v>17150</v>
      </c>
      <c r="H41" s="291">
        <v>17200</v>
      </c>
      <c r="I41" s="291">
        <v>17300</v>
      </c>
      <c r="J41" s="291">
        <v>17350</v>
      </c>
      <c r="K41" s="291">
        <v>17400</v>
      </c>
      <c r="L41" s="291">
        <v>17450</v>
      </c>
    </row>
    <row r="42" spans="1:12" ht="112.5">
      <c r="A42" s="291" t="s">
        <v>419</v>
      </c>
      <c r="B42" s="292" t="s">
        <v>623</v>
      </c>
      <c r="C42" s="291" t="s">
        <v>624</v>
      </c>
      <c r="D42" s="291">
        <v>0</v>
      </c>
      <c r="E42" s="291">
        <v>0</v>
      </c>
      <c r="F42" s="291">
        <v>0</v>
      </c>
      <c r="G42" s="291">
        <v>0</v>
      </c>
      <c r="H42" s="291">
        <v>0</v>
      </c>
      <c r="I42" s="293">
        <v>0.0035</v>
      </c>
      <c r="J42" s="293">
        <v>0.0044</v>
      </c>
      <c r="K42" s="293">
        <v>0.0051</v>
      </c>
      <c r="L42" s="293">
        <v>0.0058</v>
      </c>
    </row>
    <row r="43" spans="1:12" ht="75">
      <c r="A43" s="291" t="s">
        <v>572</v>
      </c>
      <c r="B43" s="292" t="s">
        <v>625</v>
      </c>
      <c r="C43" s="291" t="s">
        <v>489</v>
      </c>
      <c r="D43" s="291">
        <v>0</v>
      </c>
      <c r="E43" s="291">
        <v>0</v>
      </c>
      <c r="F43" s="291">
        <v>0</v>
      </c>
      <c r="G43" s="291">
        <v>0</v>
      </c>
      <c r="H43" s="291">
        <v>0</v>
      </c>
      <c r="I43" s="291">
        <v>14</v>
      </c>
      <c r="J43" s="291">
        <v>16</v>
      </c>
      <c r="K43" s="291">
        <v>17</v>
      </c>
      <c r="L43" s="291">
        <v>18</v>
      </c>
    </row>
    <row r="44" spans="1:12" ht="56.25">
      <c r="A44" s="291" t="s">
        <v>626</v>
      </c>
      <c r="B44" s="292" t="s">
        <v>627</v>
      </c>
      <c r="C44" s="291" t="s">
        <v>489</v>
      </c>
      <c r="D44" s="291">
        <v>0</v>
      </c>
      <c r="E44" s="291">
        <v>0</v>
      </c>
      <c r="F44" s="291">
        <v>0</v>
      </c>
      <c r="G44" s="291">
        <v>0</v>
      </c>
      <c r="H44" s="291">
        <v>0</v>
      </c>
      <c r="I44" s="291">
        <v>30</v>
      </c>
      <c r="J44" s="291">
        <v>33</v>
      </c>
      <c r="K44" s="291">
        <v>36</v>
      </c>
      <c r="L44" s="291">
        <v>39</v>
      </c>
    </row>
    <row r="45" spans="1:12" ht="56.25">
      <c r="A45" s="291" t="s">
        <v>628</v>
      </c>
      <c r="B45" s="292" t="s">
        <v>629</v>
      </c>
      <c r="C45" s="291" t="s">
        <v>489</v>
      </c>
      <c r="D45" s="291">
        <v>0</v>
      </c>
      <c r="E45" s="291">
        <v>0</v>
      </c>
      <c r="F45" s="291">
        <v>0</v>
      </c>
      <c r="G45" s="291">
        <v>0</v>
      </c>
      <c r="H45" s="291">
        <v>0</v>
      </c>
      <c r="I45" s="291">
        <v>20</v>
      </c>
      <c r="J45" s="291">
        <v>30</v>
      </c>
      <c r="K45" s="291">
        <v>40</v>
      </c>
      <c r="L45" s="291">
        <v>50</v>
      </c>
    </row>
    <row r="46" spans="1:12" ht="18.75">
      <c r="A46" s="474" t="s">
        <v>517</v>
      </c>
      <c r="B46" s="474"/>
      <c r="C46" s="474"/>
      <c r="D46" s="474"/>
      <c r="E46" s="474"/>
      <c r="F46" s="474"/>
      <c r="G46" s="474"/>
      <c r="H46" s="474"/>
      <c r="I46" s="474"/>
      <c r="J46" s="474"/>
      <c r="K46" s="474"/>
      <c r="L46" s="474"/>
    </row>
    <row r="47" spans="1:12" ht="75">
      <c r="A47" s="291" t="s">
        <v>92</v>
      </c>
      <c r="B47" s="292" t="s">
        <v>518</v>
      </c>
      <c r="C47" s="291" t="s">
        <v>489</v>
      </c>
      <c r="D47" s="290">
        <v>60</v>
      </c>
      <c r="E47" s="290">
        <v>61</v>
      </c>
      <c r="F47" s="290">
        <v>61.5</v>
      </c>
      <c r="G47" s="290">
        <v>62</v>
      </c>
      <c r="H47" s="290">
        <v>62.5</v>
      </c>
      <c r="I47" s="290">
        <v>62.5</v>
      </c>
      <c r="J47" s="290">
        <v>63</v>
      </c>
      <c r="K47" s="290">
        <v>63.5</v>
      </c>
      <c r="L47" s="290">
        <v>64</v>
      </c>
    </row>
    <row r="48" spans="1:12" ht="112.5">
      <c r="A48" s="291" t="s">
        <v>94</v>
      </c>
      <c r="B48" s="292" t="s">
        <v>519</v>
      </c>
      <c r="C48" s="291" t="s">
        <v>489</v>
      </c>
      <c r="D48" s="290">
        <v>31</v>
      </c>
      <c r="E48" s="290">
        <v>32</v>
      </c>
      <c r="F48" s="290">
        <v>32.5</v>
      </c>
      <c r="G48" s="290">
        <v>33</v>
      </c>
      <c r="H48" s="290">
        <v>33.5</v>
      </c>
      <c r="I48" s="290">
        <v>33.5</v>
      </c>
      <c r="J48" s="290">
        <v>33.5</v>
      </c>
      <c r="K48" s="290">
        <v>33.5</v>
      </c>
      <c r="L48" s="290">
        <v>34</v>
      </c>
    </row>
    <row r="49" spans="1:12" ht="168.75">
      <c r="A49" s="291" t="s">
        <v>143</v>
      </c>
      <c r="B49" s="292" t="s">
        <v>520</v>
      </c>
      <c r="C49" s="291" t="s">
        <v>489</v>
      </c>
      <c r="D49" s="290">
        <v>100</v>
      </c>
      <c r="E49" s="290">
        <v>100</v>
      </c>
      <c r="F49" s="290">
        <v>100</v>
      </c>
      <c r="G49" s="290">
        <v>100</v>
      </c>
      <c r="H49" s="290">
        <v>100</v>
      </c>
      <c r="I49" s="290">
        <v>100</v>
      </c>
      <c r="J49" s="290">
        <v>100</v>
      </c>
      <c r="K49" s="290">
        <v>100</v>
      </c>
      <c r="L49" s="290">
        <v>100</v>
      </c>
    </row>
    <row r="50" spans="1:12" ht="93.75">
      <c r="A50" s="291" t="s">
        <v>144</v>
      </c>
      <c r="B50" s="292" t="s">
        <v>521</v>
      </c>
      <c r="C50" s="291" t="s">
        <v>512</v>
      </c>
      <c r="D50" s="291">
        <v>950</v>
      </c>
      <c r="E50" s="291">
        <v>1000</v>
      </c>
      <c r="F50" s="291">
        <v>1050</v>
      </c>
      <c r="G50" s="291">
        <v>1100</v>
      </c>
      <c r="H50" s="291">
        <v>1150</v>
      </c>
      <c r="I50" s="291">
        <v>1150</v>
      </c>
      <c r="J50" s="291">
        <v>1150</v>
      </c>
      <c r="K50" s="291">
        <v>1150</v>
      </c>
      <c r="L50" s="291">
        <v>1200</v>
      </c>
    </row>
    <row r="51" spans="1:12" ht="93.75">
      <c r="A51" s="291" t="s">
        <v>146</v>
      </c>
      <c r="B51" s="292" t="s">
        <v>522</v>
      </c>
      <c r="C51" s="291" t="s">
        <v>489</v>
      </c>
      <c r="D51" s="291">
        <v>80</v>
      </c>
      <c r="E51" s="291" t="s">
        <v>86</v>
      </c>
      <c r="F51" s="291" t="s">
        <v>86</v>
      </c>
      <c r="G51" s="291" t="s">
        <v>86</v>
      </c>
      <c r="H51" s="291" t="s">
        <v>86</v>
      </c>
      <c r="I51" s="291" t="s">
        <v>86</v>
      </c>
      <c r="J51" s="291" t="s">
        <v>86</v>
      </c>
      <c r="K51" s="291" t="s">
        <v>86</v>
      </c>
      <c r="L51" s="291" t="s">
        <v>622</v>
      </c>
    </row>
    <row r="52" spans="1:12" ht="93.75">
      <c r="A52" s="291" t="s">
        <v>99</v>
      </c>
      <c r="B52" s="292" t="s">
        <v>523</v>
      </c>
      <c r="C52" s="291" t="s">
        <v>489</v>
      </c>
      <c r="D52" s="290">
        <v>40</v>
      </c>
      <c r="E52" s="290">
        <v>100</v>
      </c>
      <c r="F52" s="290">
        <v>100</v>
      </c>
      <c r="G52" s="290">
        <v>100</v>
      </c>
      <c r="H52" s="290">
        <v>100</v>
      </c>
      <c r="I52" s="290">
        <v>100</v>
      </c>
      <c r="J52" s="290">
        <v>100</v>
      </c>
      <c r="K52" s="290">
        <v>100</v>
      </c>
      <c r="L52" s="290">
        <v>100</v>
      </c>
    </row>
    <row r="53" spans="1:12" ht="93.75">
      <c r="A53" s="289" t="s">
        <v>103</v>
      </c>
      <c r="B53" s="294" t="s">
        <v>524</v>
      </c>
      <c r="C53" s="289" t="s">
        <v>489</v>
      </c>
      <c r="D53" s="289">
        <v>100</v>
      </c>
      <c r="E53" s="289">
        <v>100</v>
      </c>
      <c r="F53" s="289">
        <v>100</v>
      </c>
      <c r="G53" s="289">
        <v>100</v>
      </c>
      <c r="H53" s="289">
        <v>100</v>
      </c>
      <c r="I53" s="289">
        <v>100</v>
      </c>
      <c r="J53" s="289">
        <v>100</v>
      </c>
      <c r="K53" s="289">
        <v>100</v>
      </c>
      <c r="L53" s="289">
        <v>100</v>
      </c>
    </row>
    <row r="54" spans="1:12" ht="93.75">
      <c r="A54" s="289" t="s">
        <v>147</v>
      </c>
      <c r="B54" s="294" t="s">
        <v>525</v>
      </c>
      <c r="C54" s="289" t="s">
        <v>489</v>
      </c>
      <c r="D54" s="289">
        <v>100</v>
      </c>
      <c r="E54" s="289">
        <v>100</v>
      </c>
      <c r="F54" s="289">
        <v>100</v>
      </c>
      <c r="G54" s="289">
        <v>100</v>
      </c>
      <c r="H54" s="289">
        <v>100</v>
      </c>
      <c r="I54" s="289">
        <v>100</v>
      </c>
      <c r="J54" s="289">
        <v>100</v>
      </c>
      <c r="K54" s="289">
        <v>100</v>
      </c>
      <c r="L54" s="289">
        <v>100</v>
      </c>
    </row>
    <row r="55" spans="1:12" ht="93.75">
      <c r="A55" s="289" t="s">
        <v>534</v>
      </c>
      <c r="B55" s="294" t="s">
        <v>526</v>
      </c>
      <c r="C55" s="289" t="s">
        <v>489</v>
      </c>
      <c r="D55" s="289">
        <v>100</v>
      </c>
      <c r="E55" s="289">
        <v>100</v>
      </c>
      <c r="F55" s="289">
        <v>100</v>
      </c>
      <c r="G55" s="289">
        <v>100</v>
      </c>
      <c r="H55" s="289">
        <v>100</v>
      </c>
      <c r="I55" s="289">
        <v>100</v>
      </c>
      <c r="J55" s="289">
        <v>100</v>
      </c>
      <c r="K55" s="289">
        <v>100</v>
      </c>
      <c r="L55" s="289">
        <v>100</v>
      </c>
    </row>
    <row r="56" spans="1:12" ht="18.75">
      <c r="A56" s="278"/>
      <c r="C56" s="278"/>
      <c r="D56" s="278"/>
      <c r="E56" s="278"/>
      <c r="F56" s="278"/>
      <c r="G56" s="278"/>
      <c r="H56" s="278"/>
      <c r="I56" s="278"/>
      <c r="J56" s="278"/>
      <c r="K56" s="278"/>
      <c r="L56" s="278"/>
    </row>
    <row r="57" spans="1:12" ht="18.75">
      <c r="A57" s="278"/>
      <c r="C57" s="278"/>
      <c r="D57" s="278"/>
      <c r="E57" s="278"/>
      <c r="F57" s="278"/>
      <c r="G57" s="278"/>
      <c r="H57" s="278"/>
      <c r="I57" s="278"/>
      <c r="J57" s="278"/>
      <c r="K57" s="278"/>
      <c r="L57" s="278"/>
    </row>
    <row r="58" spans="1:12" ht="18.75">
      <c r="A58" s="278"/>
      <c r="C58" s="278"/>
      <c r="D58" s="278"/>
      <c r="E58" s="278"/>
      <c r="F58" s="278"/>
      <c r="G58" s="278"/>
      <c r="H58" s="278"/>
      <c r="I58" s="278"/>
      <c r="J58" s="278"/>
      <c r="K58" s="278"/>
      <c r="L58" s="278"/>
    </row>
    <row r="59" spans="1:12" ht="18.75">
      <c r="A59" s="278"/>
      <c r="C59" s="278"/>
      <c r="D59" s="278"/>
      <c r="E59" s="278"/>
      <c r="F59" s="278"/>
      <c r="G59" s="278"/>
      <c r="H59" s="278"/>
      <c r="I59" s="278"/>
      <c r="J59" s="278"/>
      <c r="K59" s="278"/>
      <c r="L59" s="278"/>
    </row>
    <row r="60" spans="1:12" ht="18.75">
      <c r="A60" s="278"/>
      <c r="C60" s="278"/>
      <c r="D60" s="278"/>
      <c r="E60" s="278"/>
      <c r="F60" s="278"/>
      <c r="G60" s="278"/>
      <c r="H60" s="278"/>
      <c r="I60" s="278"/>
      <c r="J60" s="278"/>
      <c r="K60" s="278"/>
      <c r="L60" s="278"/>
    </row>
    <row r="61" spans="1:12" ht="18.75">
      <c r="A61" s="278"/>
      <c r="C61" s="278"/>
      <c r="D61" s="278"/>
      <c r="E61" s="278"/>
      <c r="F61" s="278"/>
      <c r="G61" s="278"/>
      <c r="H61" s="278"/>
      <c r="I61" s="278"/>
      <c r="J61" s="278"/>
      <c r="K61" s="278"/>
      <c r="L61" s="278"/>
    </row>
    <row r="62" spans="1:12" ht="18.75">
      <c r="A62" s="278"/>
      <c r="C62" s="278"/>
      <c r="D62" s="278"/>
      <c r="E62" s="278"/>
      <c r="F62" s="278"/>
      <c r="G62" s="278"/>
      <c r="H62" s="278"/>
      <c r="I62" s="278"/>
      <c r="J62" s="278"/>
      <c r="K62" s="278"/>
      <c r="L62" s="278"/>
    </row>
    <row r="63" spans="1:12" ht="18.75">
      <c r="A63" s="278"/>
      <c r="C63" s="278"/>
      <c r="D63" s="278"/>
      <c r="E63" s="278"/>
      <c r="F63" s="278"/>
      <c r="G63" s="278"/>
      <c r="H63" s="278"/>
      <c r="I63" s="278"/>
      <c r="J63" s="278"/>
      <c r="K63" s="278"/>
      <c r="L63" s="278"/>
    </row>
    <row r="64" spans="1:12" ht="18.75">
      <c r="A64" s="278"/>
      <c r="C64" s="278"/>
      <c r="D64" s="278"/>
      <c r="E64" s="278"/>
      <c r="F64" s="278"/>
      <c r="G64" s="278"/>
      <c r="H64" s="278"/>
      <c r="I64" s="278"/>
      <c r="J64" s="278"/>
      <c r="K64" s="278"/>
      <c r="L64" s="278"/>
    </row>
    <row r="65" spans="1:12" ht="18.75">
      <c r="A65" s="278"/>
      <c r="C65" s="278"/>
      <c r="D65" s="278"/>
      <c r="E65" s="278"/>
      <c r="F65" s="278"/>
      <c r="G65" s="278"/>
      <c r="H65" s="278"/>
      <c r="I65" s="278"/>
      <c r="J65" s="278"/>
      <c r="K65" s="278"/>
      <c r="L65" s="278"/>
    </row>
    <row r="66" spans="1:12" ht="18.75">
      <c r="A66" s="278"/>
      <c r="C66" s="278"/>
      <c r="D66" s="278"/>
      <c r="E66" s="278"/>
      <c r="F66" s="278"/>
      <c r="G66" s="278"/>
      <c r="H66" s="278"/>
      <c r="I66" s="278"/>
      <c r="J66" s="278"/>
      <c r="K66" s="278"/>
      <c r="L66" s="278"/>
    </row>
    <row r="67" spans="1:12" ht="18.75">
      <c r="A67" s="278"/>
      <c r="C67" s="278"/>
      <c r="D67" s="278"/>
      <c r="E67" s="278"/>
      <c r="F67" s="278"/>
      <c r="G67" s="278"/>
      <c r="H67" s="278"/>
      <c r="I67" s="278"/>
      <c r="J67" s="278"/>
      <c r="K67" s="278"/>
      <c r="L67" s="278"/>
    </row>
    <row r="68" spans="1:12" ht="18.75">
      <c r="A68" s="278"/>
      <c r="C68" s="278"/>
      <c r="D68" s="278"/>
      <c r="E68" s="278"/>
      <c r="F68" s="278"/>
      <c r="G68" s="278"/>
      <c r="H68" s="278"/>
      <c r="I68" s="278"/>
      <c r="J68" s="278"/>
      <c r="K68" s="278"/>
      <c r="L68" s="278"/>
    </row>
    <row r="69" spans="1:12" ht="18.75">
      <c r="A69" s="278"/>
      <c r="C69" s="278"/>
      <c r="D69" s="278"/>
      <c r="E69" s="278"/>
      <c r="F69" s="278"/>
      <c r="G69" s="278"/>
      <c r="H69" s="278"/>
      <c r="I69" s="278"/>
      <c r="J69" s="278"/>
      <c r="K69" s="278"/>
      <c r="L69" s="278"/>
    </row>
    <row r="70" spans="1:12" ht="18.75">
      <c r="A70" s="278"/>
      <c r="C70" s="278"/>
      <c r="D70" s="278"/>
      <c r="E70" s="278"/>
      <c r="F70" s="278"/>
      <c r="G70" s="278"/>
      <c r="H70" s="278"/>
      <c r="I70" s="278"/>
      <c r="J70" s="278"/>
      <c r="K70" s="278"/>
      <c r="L70" s="278"/>
    </row>
    <row r="71" spans="1:12" ht="18.75">
      <c r="A71" s="278"/>
      <c r="C71" s="278"/>
      <c r="D71" s="278"/>
      <c r="E71" s="278"/>
      <c r="F71" s="278"/>
      <c r="G71" s="278"/>
      <c r="H71" s="278"/>
      <c r="I71" s="278"/>
      <c r="J71" s="278"/>
      <c r="K71" s="278"/>
      <c r="L71" s="278"/>
    </row>
    <row r="72" spans="1:12" ht="18.75">
      <c r="A72" s="278"/>
      <c r="C72" s="278"/>
      <c r="D72" s="278"/>
      <c r="E72" s="278"/>
      <c r="F72" s="278"/>
      <c r="G72" s="278"/>
      <c r="H72" s="278"/>
      <c r="I72" s="278"/>
      <c r="J72" s="278"/>
      <c r="K72" s="278"/>
      <c r="L72" s="278"/>
    </row>
    <row r="73" spans="1:12" ht="18.75">
      <c r="A73" s="278"/>
      <c r="C73" s="278"/>
      <c r="D73" s="278"/>
      <c r="E73" s="278"/>
      <c r="F73" s="278"/>
      <c r="G73" s="278"/>
      <c r="H73" s="278"/>
      <c r="I73" s="278"/>
      <c r="J73" s="278"/>
      <c r="K73" s="278"/>
      <c r="L73" s="278"/>
    </row>
    <row r="74" spans="1:12" ht="18.75">
      <c r="A74" s="278"/>
      <c r="C74" s="278"/>
      <c r="D74" s="278"/>
      <c r="E74" s="278"/>
      <c r="F74" s="278"/>
      <c r="G74" s="278"/>
      <c r="H74" s="278"/>
      <c r="I74" s="278"/>
      <c r="J74" s="278"/>
      <c r="K74" s="278"/>
      <c r="L74" s="278"/>
    </row>
    <row r="75" spans="1:12" ht="18.75">
      <c r="A75" s="278"/>
      <c r="C75" s="278"/>
      <c r="D75" s="278"/>
      <c r="E75" s="278"/>
      <c r="F75" s="278"/>
      <c r="G75" s="278"/>
      <c r="H75" s="278"/>
      <c r="I75" s="278"/>
      <c r="J75" s="278"/>
      <c r="K75" s="278"/>
      <c r="L75" s="278"/>
    </row>
    <row r="76" spans="1:12" ht="18.75">
      <c r="A76" s="278"/>
      <c r="C76" s="278"/>
      <c r="D76" s="278"/>
      <c r="E76" s="278"/>
      <c r="F76" s="278"/>
      <c r="G76" s="278"/>
      <c r="H76" s="278"/>
      <c r="I76" s="278"/>
      <c r="J76" s="278"/>
      <c r="K76" s="278"/>
      <c r="L76" s="278"/>
    </row>
    <row r="77" spans="1:12" ht="18.75">
      <c r="A77" s="278"/>
      <c r="C77" s="278"/>
      <c r="D77" s="278"/>
      <c r="E77" s="278"/>
      <c r="F77" s="278"/>
      <c r="G77" s="278"/>
      <c r="H77" s="278"/>
      <c r="I77" s="278"/>
      <c r="J77" s="278"/>
      <c r="K77" s="278"/>
      <c r="L77" s="278"/>
    </row>
    <row r="78" spans="1:12" ht="18.75">
      <c r="A78" s="278"/>
      <c r="C78" s="278"/>
      <c r="D78" s="278"/>
      <c r="E78" s="278"/>
      <c r="F78" s="278"/>
      <c r="G78" s="278"/>
      <c r="H78" s="278"/>
      <c r="I78" s="278"/>
      <c r="J78" s="278"/>
      <c r="K78" s="278"/>
      <c r="L78" s="278"/>
    </row>
    <row r="79" spans="1:12" ht="18.75">
      <c r="A79" s="278"/>
      <c r="C79" s="278"/>
      <c r="D79" s="278"/>
      <c r="E79" s="278"/>
      <c r="F79" s="278"/>
      <c r="G79" s="278"/>
      <c r="H79" s="278"/>
      <c r="I79" s="278"/>
      <c r="J79" s="278"/>
      <c r="K79" s="278"/>
      <c r="L79" s="278"/>
    </row>
    <row r="80" spans="1:12" ht="18.75">
      <c r="A80" s="278"/>
      <c r="C80" s="278"/>
      <c r="D80" s="278"/>
      <c r="E80" s="278"/>
      <c r="F80" s="278"/>
      <c r="G80" s="278"/>
      <c r="H80" s="278"/>
      <c r="I80" s="278"/>
      <c r="J80" s="278"/>
      <c r="K80" s="278"/>
      <c r="L80" s="278"/>
    </row>
    <row r="81" spans="1:12" ht="18.75">
      <c r="A81" s="278"/>
      <c r="C81" s="278"/>
      <c r="D81" s="278"/>
      <c r="E81" s="278"/>
      <c r="F81" s="278"/>
      <c r="G81" s="278"/>
      <c r="H81" s="278"/>
      <c r="I81" s="278"/>
      <c r="J81" s="278"/>
      <c r="K81" s="278"/>
      <c r="L81" s="278"/>
    </row>
    <row r="82" ht="18.75">
      <c r="A82" s="278"/>
    </row>
  </sheetData>
  <sheetProtection/>
  <mergeCells count="14">
    <mergeCell ref="A12:L12"/>
    <mergeCell ref="A22:L22"/>
    <mergeCell ref="A32:L32"/>
    <mergeCell ref="A37:L37"/>
    <mergeCell ref="A46:L46"/>
    <mergeCell ref="I1:L1"/>
    <mergeCell ref="A3:L3"/>
    <mergeCell ref="A4:L4"/>
    <mergeCell ref="A5:L5"/>
    <mergeCell ref="A6:L6"/>
    <mergeCell ref="D9:L9"/>
    <mergeCell ref="A9:A10"/>
    <mergeCell ref="B9:B10"/>
    <mergeCell ref="C9:C10"/>
  </mergeCells>
  <printOptions/>
  <pageMargins left="0.5118110236220472" right="0.5118110236220472" top="0.8661417322834646" bottom="0.5511811023622047" header="0.31496062992125984" footer="0.31496062992125984"/>
  <pageSetup fitToHeight="52"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view="pageBreakPreview" zoomScale="70" zoomScaleNormal="70" zoomScaleSheetLayoutView="70" zoomScalePageLayoutView="0" workbookViewId="0" topLeftCell="A1">
      <pane ySplit="9" topLeftCell="A10" activePane="bottomLeft" state="frozen"/>
      <selection pane="topLeft" activeCell="A1" sqref="A1"/>
      <selection pane="bottomLeft" activeCell="F33" sqref="F33"/>
    </sheetView>
  </sheetViews>
  <sheetFormatPr defaultColWidth="8.8515625" defaultRowHeight="15"/>
  <cols>
    <col min="1" max="1" width="8.8515625" style="280" customWidth="1"/>
    <col min="2" max="2" width="37.421875" style="280" customWidth="1"/>
    <col min="3" max="3" width="26.00390625" style="280" customWidth="1"/>
    <col min="4" max="4" width="14.7109375" style="280" customWidth="1"/>
    <col min="5" max="5" width="16.28125" style="280" customWidth="1"/>
    <col min="6" max="6" width="53.8515625" style="280" customWidth="1"/>
    <col min="7" max="7" width="53.140625" style="280" customWidth="1"/>
    <col min="8" max="8" width="34.8515625" style="280" customWidth="1"/>
    <col min="9" max="16384" width="8.8515625" style="280" customWidth="1"/>
  </cols>
  <sheetData>
    <row r="1" spans="7:8" ht="18.75">
      <c r="G1" s="485" t="s">
        <v>427</v>
      </c>
      <c r="H1" s="485"/>
    </row>
    <row r="2" spans="7:8" ht="18.75">
      <c r="G2" s="286"/>
      <c r="H2" s="286"/>
    </row>
    <row r="3" spans="1:8" ht="18.75">
      <c r="A3" s="486" t="s">
        <v>573</v>
      </c>
      <c r="B3" s="486"/>
      <c r="C3" s="486"/>
      <c r="D3" s="486"/>
      <c r="E3" s="486"/>
      <c r="F3" s="486"/>
      <c r="G3" s="486"/>
      <c r="H3" s="486"/>
    </row>
    <row r="4" spans="1:8" ht="18.75">
      <c r="A4" s="486" t="s">
        <v>574</v>
      </c>
      <c r="B4" s="486"/>
      <c r="C4" s="486"/>
      <c r="D4" s="486"/>
      <c r="E4" s="486"/>
      <c r="F4" s="486"/>
      <c r="G4" s="486"/>
      <c r="H4" s="486"/>
    </row>
    <row r="5" spans="1:8" ht="18.75">
      <c r="A5" s="486"/>
      <c r="B5" s="486"/>
      <c r="C5" s="486"/>
      <c r="D5" s="486"/>
      <c r="E5" s="486"/>
      <c r="F5" s="486"/>
      <c r="G5" s="486"/>
      <c r="H5" s="486"/>
    </row>
    <row r="6" spans="1:8" ht="18.75">
      <c r="A6" s="287"/>
      <c r="B6" s="287"/>
      <c r="C6" s="287"/>
      <c r="D6" s="287"/>
      <c r="E6" s="287"/>
      <c r="F6" s="287"/>
      <c r="G6" s="287"/>
      <c r="H6" s="287"/>
    </row>
    <row r="7" spans="1:8" s="287" customFormat="1" ht="36" customHeight="1">
      <c r="A7" s="478" t="s">
        <v>106</v>
      </c>
      <c r="B7" s="478" t="s">
        <v>420</v>
      </c>
      <c r="C7" s="478" t="s">
        <v>421</v>
      </c>
      <c r="D7" s="478" t="s">
        <v>418</v>
      </c>
      <c r="E7" s="478"/>
      <c r="F7" s="478" t="s">
        <v>424</v>
      </c>
      <c r="G7" s="478" t="s">
        <v>425</v>
      </c>
      <c r="H7" s="478" t="s">
        <v>426</v>
      </c>
    </row>
    <row r="8" spans="1:8" ht="37.5">
      <c r="A8" s="478"/>
      <c r="B8" s="478"/>
      <c r="C8" s="478"/>
      <c r="D8" s="285" t="s">
        <v>422</v>
      </c>
      <c r="E8" s="285" t="s">
        <v>423</v>
      </c>
      <c r="F8" s="478"/>
      <c r="G8" s="478"/>
      <c r="H8" s="478"/>
    </row>
    <row r="9" spans="1:8" s="287" customFormat="1" ht="18.75">
      <c r="A9" s="285">
        <v>1</v>
      </c>
      <c r="B9" s="285">
        <v>2</v>
      </c>
      <c r="C9" s="285">
        <v>3</v>
      </c>
      <c r="D9" s="285">
        <v>4</v>
      </c>
      <c r="E9" s="285">
        <v>5</v>
      </c>
      <c r="F9" s="285">
        <v>6</v>
      </c>
      <c r="G9" s="285">
        <v>7</v>
      </c>
      <c r="H9" s="285">
        <v>8</v>
      </c>
    </row>
    <row r="10" spans="1:8" ht="18.75">
      <c r="A10" s="478" t="s">
        <v>51</v>
      </c>
      <c r="B10" s="478"/>
      <c r="C10" s="478"/>
      <c r="D10" s="478"/>
      <c r="E10" s="478"/>
      <c r="F10" s="478"/>
      <c r="G10" s="478"/>
      <c r="H10" s="478"/>
    </row>
    <row r="11" spans="1:8" ht="75">
      <c r="A11" s="285" t="s">
        <v>121</v>
      </c>
      <c r="B11" s="240" t="s">
        <v>428</v>
      </c>
      <c r="C11" s="285" t="s">
        <v>264</v>
      </c>
      <c r="D11" s="285">
        <v>2014</v>
      </c>
      <c r="E11" s="285">
        <v>2022</v>
      </c>
      <c r="F11" s="240" t="s">
        <v>429</v>
      </c>
      <c r="G11" s="240" t="s">
        <v>430</v>
      </c>
      <c r="H11" s="241" t="s">
        <v>652</v>
      </c>
    </row>
    <row r="12" spans="1:8" ht="112.5">
      <c r="A12" s="285" t="s">
        <v>123</v>
      </c>
      <c r="B12" s="240" t="s">
        <v>431</v>
      </c>
      <c r="C12" s="285" t="s">
        <v>264</v>
      </c>
      <c r="D12" s="285">
        <v>2014</v>
      </c>
      <c r="E12" s="285">
        <v>2022</v>
      </c>
      <c r="F12" s="240" t="s">
        <v>432</v>
      </c>
      <c r="G12" s="240" t="s">
        <v>433</v>
      </c>
      <c r="H12" s="240" t="s">
        <v>434</v>
      </c>
    </row>
    <row r="13" spans="1:8" ht="131.25">
      <c r="A13" s="285" t="s">
        <v>124</v>
      </c>
      <c r="B13" s="240" t="s">
        <v>409</v>
      </c>
      <c r="C13" s="285" t="s">
        <v>264</v>
      </c>
      <c r="D13" s="285">
        <v>2014</v>
      </c>
      <c r="E13" s="285">
        <v>2022</v>
      </c>
      <c r="F13" s="240" t="s">
        <v>435</v>
      </c>
      <c r="G13" s="240" t="s">
        <v>436</v>
      </c>
      <c r="H13" s="240" t="s">
        <v>437</v>
      </c>
    </row>
    <row r="14" spans="1:8" ht="131.25">
      <c r="A14" s="285" t="s">
        <v>529</v>
      </c>
      <c r="B14" s="240" t="s">
        <v>645</v>
      </c>
      <c r="C14" s="285" t="s">
        <v>264</v>
      </c>
      <c r="D14" s="285">
        <v>2019</v>
      </c>
      <c r="E14" s="285">
        <v>2022</v>
      </c>
      <c r="F14" s="240" t="s">
        <v>429</v>
      </c>
      <c r="G14" s="240" t="s">
        <v>430</v>
      </c>
      <c r="H14" s="241" t="s">
        <v>540</v>
      </c>
    </row>
    <row r="15" spans="1:8" ht="112.5">
      <c r="A15" s="285" t="s">
        <v>530</v>
      </c>
      <c r="B15" s="240" t="s">
        <v>539</v>
      </c>
      <c r="C15" s="285" t="s">
        <v>264</v>
      </c>
      <c r="D15" s="285">
        <v>2019</v>
      </c>
      <c r="E15" s="285">
        <v>2022</v>
      </c>
      <c r="F15" s="240" t="s">
        <v>432</v>
      </c>
      <c r="G15" s="240" t="s">
        <v>433</v>
      </c>
      <c r="H15" s="240" t="s">
        <v>434</v>
      </c>
    </row>
    <row r="16" spans="1:8" ht="56.25" customHeight="1">
      <c r="A16" s="285" t="s">
        <v>570</v>
      </c>
      <c r="B16" s="240" t="s">
        <v>666</v>
      </c>
      <c r="C16" s="482" t="s">
        <v>264</v>
      </c>
      <c r="D16" s="482">
        <v>2019</v>
      </c>
      <c r="E16" s="482">
        <v>2022</v>
      </c>
      <c r="F16" s="482" t="s">
        <v>429</v>
      </c>
      <c r="G16" s="482" t="s">
        <v>430</v>
      </c>
      <c r="H16" s="482" t="s">
        <v>653</v>
      </c>
    </row>
    <row r="17" spans="1:8" ht="295.5" customHeight="1">
      <c r="A17" s="258" t="s">
        <v>633</v>
      </c>
      <c r="B17" s="240" t="s">
        <v>632</v>
      </c>
      <c r="C17" s="483"/>
      <c r="D17" s="483"/>
      <c r="E17" s="483"/>
      <c r="F17" s="483"/>
      <c r="G17" s="483"/>
      <c r="H17" s="483"/>
    </row>
    <row r="18" spans="1:8" ht="18.75">
      <c r="A18" s="478" t="s">
        <v>61</v>
      </c>
      <c r="B18" s="478"/>
      <c r="C18" s="478"/>
      <c r="D18" s="478"/>
      <c r="E18" s="478"/>
      <c r="F18" s="478"/>
      <c r="G18" s="478"/>
      <c r="H18" s="478"/>
    </row>
    <row r="19" spans="1:8" ht="168.75">
      <c r="A19" s="285" t="s">
        <v>125</v>
      </c>
      <c r="B19" s="240" t="s">
        <v>410</v>
      </c>
      <c r="C19" s="285" t="s">
        <v>264</v>
      </c>
      <c r="D19" s="285">
        <v>2014</v>
      </c>
      <c r="E19" s="285">
        <v>2022</v>
      </c>
      <c r="F19" s="240" t="s">
        <v>438</v>
      </c>
      <c r="G19" s="240" t="s">
        <v>439</v>
      </c>
      <c r="H19" s="240" t="s">
        <v>440</v>
      </c>
    </row>
    <row r="20" spans="1:8" ht="262.5">
      <c r="A20" s="285" t="s">
        <v>128</v>
      </c>
      <c r="B20" s="240" t="s">
        <v>441</v>
      </c>
      <c r="C20" s="285" t="s">
        <v>264</v>
      </c>
      <c r="D20" s="285">
        <v>2014</v>
      </c>
      <c r="E20" s="285">
        <v>2022</v>
      </c>
      <c r="F20" s="240" t="s">
        <v>442</v>
      </c>
      <c r="G20" s="240" t="s">
        <v>443</v>
      </c>
      <c r="H20" s="240" t="s">
        <v>444</v>
      </c>
    </row>
    <row r="21" spans="1:8" ht="93.75">
      <c r="A21" s="285" t="s">
        <v>129</v>
      </c>
      <c r="B21" s="240" t="s">
        <v>411</v>
      </c>
      <c r="C21" s="285" t="s">
        <v>264</v>
      </c>
      <c r="D21" s="285">
        <v>2014</v>
      </c>
      <c r="E21" s="285">
        <v>2022</v>
      </c>
      <c r="F21" s="240" t="s">
        <v>445</v>
      </c>
      <c r="G21" s="240" t="s">
        <v>446</v>
      </c>
      <c r="H21" s="240" t="s">
        <v>447</v>
      </c>
    </row>
    <row r="22" spans="1:8" ht="168.75">
      <c r="A22" s="285" t="s">
        <v>261</v>
      </c>
      <c r="B22" s="241" t="s">
        <v>646</v>
      </c>
      <c r="C22" s="285" t="s">
        <v>264</v>
      </c>
      <c r="D22" s="285">
        <v>2018</v>
      </c>
      <c r="E22" s="285">
        <v>2022</v>
      </c>
      <c r="F22" s="240" t="s">
        <v>448</v>
      </c>
      <c r="G22" s="240" t="s">
        <v>449</v>
      </c>
      <c r="H22" s="240" t="s">
        <v>450</v>
      </c>
    </row>
    <row r="23" spans="1:8" ht="262.5">
      <c r="A23" s="285" t="s">
        <v>531</v>
      </c>
      <c r="B23" s="241" t="s">
        <v>647</v>
      </c>
      <c r="C23" s="285" t="s">
        <v>264</v>
      </c>
      <c r="D23" s="285">
        <v>2019</v>
      </c>
      <c r="E23" s="285">
        <v>2022</v>
      </c>
      <c r="F23" s="240" t="s">
        <v>442</v>
      </c>
      <c r="G23" s="240" t="s">
        <v>576</v>
      </c>
      <c r="H23" s="240" t="s">
        <v>444</v>
      </c>
    </row>
    <row r="24" spans="1:8" s="260" customFormat="1" ht="168.75">
      <c r="A24" s="258" t="s">
        <v>532</v>
      </c>
      <c r="B24" s="259" t="s">
        <v>569</v>
      </c>
      <c r="C24" s="258" t="s">
        <v>264</v>
      </c>
      <c r="D24" s="258">
        <v>2019</v>
      </c>
      <c r="E24" s="258">
        <v>2022</v>
      </c>
      <c r="F24" s="259" t="s">
        <v>448</v>
      </c>
      <c r="G24" s="259" t="s">
        <v>449</v>
      </c>
      <c r="H24" s="259" t="s">
        <v>450</v>
      </c>
    </row>
    <row r="25" spans="1:8" s="260" customFormat="1" ht="37.5" customHeight="1">
      <c r="A25" s="258" t="s">
        <v>533</v>
      </c>
      <c r="B25" s="259" t="s">
        <v>667</v>
      </c>
      <c r="C25" s="479" t="s">
        <v>264</v>
      </c>
      <c r="D25" s="479">
        <v>2019</v>
      </c>
      <c r="E25" s="479">
        <v>2022</v>
      </c>
      <c r="F25" s="479" t="s">
        <v>448</v>
      </c>
      <c r="G25" s="479" t="s">
        <v>449</v>
      </c>
      <c r="H25" s="479" t="s">
        <v>450</v>
      </c>
    </row>
    <row r="26" spans="1:8" s="260" customFormat="1" ht="187.5">
      <c r="A26" s="258" t="s">
        <v>634</v>
      </c>
      <c r="B26" s="259" t="s">
        <v>599</v>
      </c>
      <c r="C26" s="480"/>
      <c r="D26" s="480"/>
      <c r="E26" s="480"/>
      <c r="F26" s="480"/>
      <c r="G26" s="480"/>
      <c r="H26" s="480"/>
    </row>
    <row r="27" spans="1:8" s="260" customFormat="1" ht="298.5" customHeight="1">
      <c r="A27" s="258" t="s">
        <v>635</v>
      </c>
      <c r="B27" s="259" t="s">
        <v>611</v>
      </c>
      <c r="C27" s="480"/>
      <c r="D27" s="480"/>
      <c r="E27" s="480"/>
      <c r="F27" s="480"/>
      <c r="G27" s="480"/>
      <c r="H27" s="480"/>
    </row>
    <row r="28" spans="1:8" s="260" customFormat="1" ht="118.5" customHeight="1">
      <c r="A28" s="288" t="s">
        <v>636</v>
      </c>
      <c r="B28" s="259" t="s">
        <v>610</v>
      </c>
      <c r="C28" s="481"/>
      <c r="D28" s="481"/>
      <c r="E28" s="481"/>
      <c r="F28" s="481"/>
      <c r="G28" s="481"/>
      <c r="H28" s="481"/>
    </row>
    <row r="29" spans="1:8" ht="18.75">
      <c r="A29" s="478" t="s">
        <v>78</v>
      </c>
      <c r="B29" s="478"/>
      <c r="C29" s="478"/>
      <c r="D29" s="478"/>
      <c r="E29" s="478"/>
      <c r="F29" s="478"/>
      <c r="G29" s="478"/>
      <c r="H29" s="478"/>
    </row>
    <row r="30" spans="1:8" ht="75">
      <c r="A30" s="285" t="s">
        <v>130</v>
      </c>
      <c r="B30" s="240" t="s">
        <v>451</v>
      </c>
      <c r="C30" s="285" t="s">
        <v>264</v>
      </c>
      <c r="D30" s="285">
        <v>2014</v>
      </c>
      <c r="E30" s="285">
        <v>2022</v>
      </c>
      <c r="F30" s="240" t="s">
        <v>672</v>
      </c>
      <c r="G30" s="240" t="s">
        <v>673</v>
      </c>
      <c r="H30" s="240" t="s">
        <v>452</v>
      </c>
    </row>
    <row r="31" spans="1:8" ht="75">
      <c r="A31" s="285" t="s">
        <v>606</v>
      </c>
      <c r="B31" s="240" t="s">
        <v>617</v>
      </c>
      <c r="C31" s="285" t="s">
        <v>618</v>
      </c>
      <c r="D31" s="285">
        <v>2019</v>
      </c>
      <c r="E31" s="285">
        <v>2022</v>
      </c>
      <c r="F31" s="295" t="s">
        <v>672</v>
      </c>
      <c r="G31" s="295" t="s">
        <v>673</v>
      </c>
      <c r="H31" s="240" t="s">
        <v>452</v>
      </c>
    </row>
    <row r="32" spans="1:8" ht="18.75">
      <c r="A32" s="478" t="s">
        <v>82</v>
      </c>
      <c r="B32" s="478"/>
      <c r="C32" s="478"/>
      <c r="D32" s="478"/>
      <c r="E32" s="478"/>
      <c r="F32" s="478"/>
      <c r="G32" s="478"/>
      <c r="H32" s="478"/>
    </row>
    <row r="33" spans="1:8" ht="409.5">
      <c r="A33" s="285" t="s">
        <v>131</v>
      </c>
      <c r="B33" s="240" t="s">
        <v>541</v>
      </c>
      <c r="C33" s="285" t="s">
        <v>264</v>
      </c>
      <c r="D33" s="285">
        <v>2014</v>
      </c>
      <c r="E33" s="285">
        <v>2022</v>
      </c>
      <c r="F33" s="240" t="s">
        <v>453</v>
      </c>
      <c r="G33" s="240" t="s">
        <v>454</v>
      </c>
      <c r="H33" s="240" t="s">
        <v>455</v>
      </c>
    </row>
    <row r="34" spans="1:8" ht="409.5">
      <c r="A34" s="285" t="s">
        <v>132</v>
      </c>
      <c r="B34" s="240" t="s">
        <v>412</v>
      </c>
      <c r="C34" s="285" t="s">
        <v>264</v>
      </c>
      <c r="D34" s="285">
        <v>2014</v>
      </c>
      <c r="E34" s="285">
        <v>2022</v>
      </c>
      <c r="F34" s="240" t="s">
        <v>453</v>
      </c>
      <c r="G34" s="240" t="s">
        <v>454</v>
      </c>
      <c r="H34" s="240" t="s">
        <v>455</v>
      </c>
    </row>
    <row r="35" spans="1:8" ht="409.5">
      <c r="A35" s="285" t="s">
        <v>133</v>
      </c>
      <c r="B35" s="240" t="s">
        <v>413</v>
      </c>
      <c r="C35" s="285" t="s">
        <v>264</v>
      </c>
      <c r="D35" s="285">
        <v>2014</v>
      </c>
      <c r="E35" s="285">
        <v>2022</v>
      </c>
      <c r="F35" s="240" t="s">
        <v>453</v>
      </c>
      <c r="G35" s="240" t="s">
        <v>454</v>
      </c>
      <c r="H35" s="240" t="s">
        <v>456</v>
      </c>
    </row>
    <row r="36" spans="1:8" ht="131.25">
      <c r="A36" s="285" t="s">
        <v>167</v>
      </c>
      <c r="B36" s="240" t="s">
        <v>414</v>
      </c>
      <c r="C36" s="285" t="s">
        <v>264</v>
      </c>
      <c r="D36" s="285">
        <v>2014</v>
      </c>
      <c r="E36" s="285">
        <v>2022</v>
      </c>
      <c r="F36" s="240" t="s">
        <v>457</v>
      </c>
      <c r="G36" s="240" t="s">
        <v>458</v>
      </c>
      <c r="H36" s="240"/>
    </row>
    <row r="37" spans="1:8" ht="37.5">
      <c r="A37" s="285" t="s">
        <v>571</v>
      </c>
      <c r="B37" s="240" t="s">
        <v>668</v>
      </c>
      <c r="C37" s="482" t="s">
        <v>264</v>
      </c>
      <c r="D37" s="482">
        <v>2019</v>
      </c>
      <c r="E37" s="482">
        <v>2022</v>
      </c>
      <c r="F37" s="482" t="s">
        <v>453</v>
      </c>
      <c r="G37" s="482" t="s">
        <v>454</v>
      </c>
      <c r="H37" s="482" t="s">
        <v>455</v>
      </c>
    </row>
    <row r="38" spans="1:8" ht="396.75" customHeight="1">
      <c r="A38" s="285" t="s">
        <v>637</v>
      </c>
      <c r="B38" s="240" t="s">
        <v>605</v>
      </c>
      <c r="C38" s="483"/>
      <c r="D38" s="483"/>
      <c r="E38" s="483"/>
      <c r="F38" s="483"/>
      <c r="G38" s="483"/>
      <c r="H38" s="483"/>
    </row>
    <row r="39" spans="1:8" ht="18.75">
      <c r="A39" s="478" t="s">
        <v>187</v>
      </c>
      <c r="B39" s="478"/>
      <c r="C39" s="478"/>
      <c r="D39" s="478"/>
      <c r="E39" s="478"/>
      <c r="F39" s="478"/>
      <c r="G39" s="478"/>
      <c r="H39" s="478"/>
    </row>
    <row r="40" spans="1:8" ht="93.75">
      <c r="A40" s="285" t="s">
        <v>134</v>
      </c>
      <c r="B40" s="240" t="s">
        <v>135</v>
      </c>
      <c r="C40" s="285" t="s">
        <v>618</v>
      </c>
      <c r="D40" s="285">
        <v>2014</v>
      </c>
      <c r="E40" s="285">
        <v>2022</v>
      </c>
      <c r="F40" s="240" t="s">
        <v>459</v>
      </c>
      <c r="G40" s="240" t="s">
        <v>460</v>
      </c>
      <c r="H40" s="240" t="s">
        <v>461</v>
      </c>
    </row>
    <row r="41" spans="1:8" ht="112.5">
      <c r="A41" s="285" t="s">
        <v>137</v>
      </c>
      <c r="B41" s="240" t="s">
        <v>87</v>
      </c>
      <c r="C41" s="285" t="s">
        <v>619</v>
      </c>
      <c r="D41" s="285">
        <v>2014</v>
      </c>
      <c r="E41" s="285">
        <v>2022</v>
      </c>
      <c r="F41" s="240" t="s">
        <v>462</v>
      </c>
      <c r="G41" s="240" t="s">
        <v>463</v>
      </c>
      <c r="H41" s="240" t="s">
        <v>464</v>
      </c>
    </row>
    <row r="42" spans="1:8" ht="56.25">
      <c r="A42" s="285" t="s">
        <v>188</v>
      </c>
      <c r="B42" s="240" t="s">
        <v>90</v>
      </c>
      <c r="C42" s="285" t="s">
        <v>618</v>
      </c>
      <c r="D42" s="285">
        <v>2014</v>
      </c>
      <c r="E42" s="285">
        <v>2022</v>
      </c>
      <c r="F42" s="240" t="s">
        <v>465</v>
      </c>
      <c r="G42" s="240" t="s">
        <v>466</v>
      </c>
      <c r="H42" s="240" t="s">
        <v>467</v>
      </c>
    </row>
    <row r="43" spans="1:8" ht="56.25">
      <c r="A43" s="285" t="s">
        <v>139</v>
      </c>
      <c r="B43" s="240" t="s">
        <v>91</v>
      </c>
      <c r="C43" s="285" t="s">
        <v>618</v>
      </c>
      <c r="D43" s="285">
        <v>2014</v>
      </c>
      <c r="E43" s="285">
        <v>2022</v>
      </c>
      <c r="F43" s="240" t="s">
        <v>468</v>
      </c>
      <c r="G43" s="240" t="s">
        <v>469</v>
      </c>
      <c r="H43" s="240" t="s">
        <v>470</v>
      </c>
    </row>
    <row r="44" spans="1:8" ht="75">
      <c r="A44" s="285" t="s">
        <v>419</v>
      </c>
      <c r="B44" s="240" t="s">
        <v>174</v>
      </c>
      <c r="C44" s="285" t="s">
        <v>618</v>
      </c>
      <c r="D44" s="285">
        <v>2014</v>
      </c>
      <c r="E44" s="285">
        <v>2014</v>
      </c>
      <c r="F44" s="240" t="s">
        <v>471</v>
      </c>
      <c r="G44" s="240" t="s">
        <v>469</v>
      </c>
      <c r="H44" s="240" t="s">
        <v>470</v>
      </c>
    </row>
    <row r="45" spans="1:8" ht="56.25">
      <c r="A45" s="285" t="s">
        <v>572</v>
      </c>
      <c r="B45" s="240" t="s">
        <v>669</v>
      </c>
      <c r="C45" s="482" t="s">
        <v>618</v>
      </c>
      <c r="D45" s="482">
        <v>2019</v>
      </c>
      <c r="E45" s="482">
        <v>2021</v>
      </c>
      <c r="F45" s="482" t="s">
        <v>468</v>
      </c>
      <c r="G45" s="482" t="s">
        <v>469</v>
      </c>
      <c r="H45" s="482" t="s">
        <v>620</v>
      </c>
    </row>
    <row r="46" spans="1:8" ht="206.25">
      <c r="A46" s="281" t="s">
        <v>662</v>
      </c>
      <c r="B46" s="240" t="s">
        <v>656</v>
      </c>
      <c r="C46" s="484"/>
      <c r="D46" s="484"/>
      <c r="E46" s="484"/>
      <c r="F46" s="484"/>
      <c r="G46" s="484"/>
      <c r="H46" s="484"/>
    </row>
    <row r="47" spans="1:8" ht="374.25" customHeight="1">
      <c r="A47" s="281" t="s">
        <v>670</v>
      </c>
      <c r="B47" s="240" t="s">
        <v>655</v>
      </c>
      <c r="C47" s="484"/>
      <c r="D47" s="484"/>
      <c r="E47" s="484"/>
      <c r="F47" s="484"/>
      <c r="G47" s="484"/>
      <c r="H47" s="484"/>
    </row>
    <row r="48" spans="1:8" ht="140.25" customHeight="1">
      <c r="A48" s="281" t="s">
        <v>664</v>
      </c>
      <c r="B48" s="240" t="s">
        <v>657</v>
      </c>
      <c r="C48" s="484"/>
      <c r="D48" s="484"/>
      <c r="E48" s="484"/>
      <c r="F48" s="484"/>
      <c r="G48" s="484"/>
      <c r="H48" s="484"/>
    </row>
    <row r="49" spans="1:8" ht="206.25">
      <c r="A49" s="281" t="s">
        <v>671</v>
      </c>
      <c r="B49" s="240" t="s">
        <v>658</v>
      </c>
      <c r="C49" s="483"/>
      <c r="D49" s="483"/>
      <c r="E49" s="483"/>
      <c r="F49" s="483"/>
      <c r="G49" s="483"/>
      <c r="H49" s="483"/>
    </row>
    <row r="50" spans="1:8" ht="18.75">
      <c r="A50" s="478" t="s">
        <v>216</v>
      </c>
      <c r="B50" s="478"/>
      <c r="C50" s="478"/>
      <c r="D50" s="478"/>
      <c r="E50" s="478"/>
      <c r="F50" s="478"/>
      <c r="G50" s="478"/>
      <c r="H50" s="478"/>
    </row>
    <row r="51" spans="1:8" ht="56.25">
      <c r="A51" s="285" t="s">
        <v>92</v>
      </c>
      <c r="B51" s="240" t="s">
        <v>93</v>
      </c>
      <c r="C51" s="240" t="s">
        <v>621</v>
      </c>
      <c r="D51" s="285">
        <v>2014</v>
      </c>
      <c r="E51" s="285">
        <v>2022</v>
      </c>
      <c r="F51" s="240" t="s">
        <v>472</v>
      </c>
      <c r="G51" s="240" t="s">
        <v>473</v>
      </c>
      <c r="H51" s="240" t="s">
        <v>474</v>
      </c>
    </row>
    <row r="52" spans="1:8" ht="93.75">
      <c r="A52" s="285" t="s">
        <v>94</v>
      </c>
      <c r="B52" s="240" t="s">
        <v>95</v>
      </c>
      <c r="C52" s="240" t="s">
        <v>621</v>
      </c>
      <c r="D52" s="285">
        <v>2014</v>
      </c>
      <c r="E52" s="285">
        <v>2022</v>
      </c>
      <c r="F52" s="240" t="s">
        <v>472</v>
      </c>
      <c r="G52" s="240" t="s">
        <v>473</v>
      </c>
      <c r="H52" s="240" t="s">
        <v>475</v>
      </c>
    </row>
    <row r="53" spans="1:8" ht="187.5">
      <c r="A53" s="285" t="s">
        <v>143</v>
      </c>
      <c r="B53" s="240" t="s">
        <v>96</v>
      </c>
      <c r="C53" s="240" t="s">
        <v>621</v>
      </c>
      <c r="D53" s="285">
        <v>2014</v>
      </c>
      <c r="E53" s="285">
        <v>2022</v>
      </c>
      <c r="F53" s="240" t="s">
        <v>472</v>
      </c>
      <c r="G53" s="240" t="s">
        <v>473</v>
      </c>
      <c r="H53" s="240" t="s">
        <v>475</v>
      </c>
    </row>
    <row r="54" spans="1:8" ht="131.25">
      <c r="A54" s="285" t="s">
        <v>144</v>
      </c>
      <c r="B54" s="240" t="s">
        <v>145</v>
      </c>
      <c r="C54" s="240" t="s">
        <v>621</v>
      </c>
      <c r="D54" s="285">
        <v>2014</v>
      </c>
      <c r="E54" s="285">
        <v>2022</v>
      </c>
      <c r="F54" s="240" t="s">
        <v>476</v>
      </c>
      <c r="G54" s="240" t="s">
        <v>473</v>
      </c>
      <c r="H54" s="240" t="s">
        <v>477</v>
      </c>
    </row>
    <row r="55" spans="1:8" ht="120" customHeight="1">
      <c r="A55" s="285" t="s">
        <v>146</v>
      </c>
      <c r="B55" s="240" t="s">
        <v>98</v>
      </c>
      <c r="C55" s="240" t="s">
        <v>621</v>
      </c>
      <c r="D55" s="285">
        <v>2014</v>
      </c>
      <c r="E55" s="285">
        <v>2022</v>
      </c>
      <c r="F55" s="240" t="s">
        <v>472</v>
      </c>
      <c r="G55" s="240" t="s">
        <v>473</v>
      </c>
      <c r="H55" s="240" t="s">
        <v>478</v>
      </c>
    </row>
    <row r="56" spans="1:8" ht="121.5" customHeight="1">
      <c r="A56" s="285" t="s">
        <v>99</v>
      </c>
      <c r="B56" s="240" t="s">
        <v>189</v>
      </c>
      <c r="C56" s="240" t="s">
        <v>621</v>
      </c>
      <c r="D56" s="285">
        <v>2014</v>
      </c>
      <c r="E56" s="285">
        <v>2022</v>
      </c>
      <c r="F56" s="240" t="s">
        <v>472</v>
      </c>
      <c r="G56" s="240" t="s">
        <v>473</v>
      </c>
      <c r="H56" s="240" t="s">
        <v>479</v>
      </c>
    </row>
    <row r="57" spans="1:8" ht="93.75">
      <c r="A57" s="285" t="s">
        <v>103</v>
      </c>
      <c r="B57" s="240" t="s">
        <v>104</v>
      </c>
      <c r="C57" s="240" t="s">
        <v>621</v>
      </c>
      <c r="D57" s="285">
        <v>2014</v>
      </c>
      <c r="E57" s="285">
        <v>2022</v>
      </c>
      <c r="F57" s="240" t="s">
        <v>472</v>
      </c>
      <c r="G57" s="240" t="s">
        <v>473</v>
      </c>
      <c r="H57" s="240" t="s">
        <v>480</v>
      </c>
    </row>
    <row r="58" spans="1:8" ht="150">
      <c r="A58" s="285" t="s">
        <v>147</v>
      </c>
      <c r="B58" s="240" t="s">
        <v>105</v>
      </c>
      <c r="C58" s="240" t="s">
        <v>621</v>
      </c>
      <c r="D58" s="285">
        <v>2014</v>
      </c>
      <c r="E58" s="285">
        <v>2022</v>
      </c>
      <c r="F58" s="240" t="s">
        <v>472</v>
      </c>
      <c r="G58" s="240" t="s">
        <v>473</v>
      </c>
      <c r="H58" s="240" t="s">
        <v>481</v>
      </c>
    </row>
    <row r="59" ht="18.75">
      <c r="A59" s="287"/>
    </row>
    <row r="60" ht="18.75">
      <c r="A60" s="287"/>
    </row>
    <row r="61" ht="18.75">
      <c r="A61" s="287"/>
    </row>
    <row r="62" ht="18.75">
      <c r="A62" s="287"/>
    </row>
    <row r="63" ht="18.75">
      <c r="A63" s="287"/>
    </row>
    <row r="64" ht="18.75">
      <c r="A64" s="287"/>
    </row>
    <row r="65" ht="18.75">
      <c r="A65" s="287"/>
    </row>
    <row r="66" ht="18.75">
      <c r="A66" s="287"/>
    </row>
    <row r="67" ht="18.75">
      <c r="A67" s="287"/>
    </row>
    <row r="68" ht="18.75">
      <c r="A68" s="287"/>
    </row>
    <row r="69" ht="18.75">
      <c r="A69" s="287"/>
    </row>
    <row r="70" ht="18.75">
      <c r="A70" s="287"/>
    </row>
    <row r="71" ht="18.75">
      <c r="A71" s="287"/>
    </row>
    <row r="72" ht="18.75">
      <c r="A72" s="287"/>
    </row>
    <row r="73" ht="18.75">
      <c r="A73" s="287"/>
    </row>
    <row r="74" ht="18.75">
      <c r="A74" s="287"/>
    </row>
    <row r="75" ht="18.75">
      <c r="A75" s="287"/>
    </row>
    <row r="76" ht="18.75">
      <c r="A76" s="287"/>
    </row>
    <row r="77" ht="18.75">
      <c r="A77" s="287"/>
    </row>
    <row r="78" ht="18.75">
      <c r="A78" s="287"/>
    </row>
    <row r="79" ht="18.75">
      <c r="A79" s="287"/>
    </row>
  </sheetData>
  <sheetProtection/>
  <mergeCells count="41">
    <mergeCell ref="H7:H8"/>
    <mergeCell ref="G1:H1"/>
    <mergeCell ref="A3:H3"/>
    <mergeCell ref="A4:H4"/>
    <mergeCell ref="A5:H5"/>
    <mergeCell ref="D7:E7"/>
    <mergeCell ref="A7:A8"/>
    <mergeCell ref="A18:H18"/>
    <mergeCell ref="A29:H29"/>
    <mergeCell ref="A32:H32"/>
    <mergeCell ref="A39:H39"/>
    <mergeCell ref="A50:H50"/>
    <mergeCell ref="B7:B8"/>
    <mergeCell ref="C7:C8"/>
    <mergeCell ref="A10:H10"/>
    <mergeCell ref="F7:F8"/>
    <mergeCell ref="G7:G8"/>
    <mergeCell ref="C45:C49"/>
    <mergeCell ref="D45:D49"/>
    <mergeCell ref="E45:E49"/>
    <mergeCell ref="F45:F49"/>
    <mergeCell ref="G45:G49"/>
    <mergeCell ref="H45:H49"/>
    <mergeCell ref="C16:C17"/>
    <mergeCell ref="D16:D17"/>
    <mergeCell ref="E16:E17"/>
    <mergeCell ref="F16:F17"/>
    <mergeCell ref="G16:G17"/>
    <mergeCell ref="H16:H17"/>
    <mergeCell ref="C37:C38"/>
    <mergeCell ref="D37:D38"/>
    <mergeCell ref="E37:E38"/>
    <mergeCell ref="F37:F38"/>
    <mergeCell ref="G37:G38"/>
    <mergeCell ref="H37:H38"/>
    <mergeCell ref="C25:C28"/>
    <mergeCell ref="D25:D28"/>
    <mergeCell ref="E25:E28"/>
    <mergeCell ref="F25:F28"/>
    <mergeCell ref="G25:G28"/>
    <mergeCell ref="H25:H28"/>
  </mergeCells>
  <printOptions/>
  <pageMargins left="0.5118110236220472" right="0.5118110236220472" top="0.8661417322834646" bottom="0.5511811023622047" header="0.31496062992125984" footer="0.31496062992125984"/>
  <pageSetup fitToHeight="0" fitToWidth="1" horizontalDpi="600" verticalDpi="600" orientation="landscape" paperSize="9" scale="55" r:id="rId1"/>
  <rowBreaks count="5" manualBreakCount="5">
    <brk id="15" max="255" man="1"/>
    <brk id="24" max="255" man="1"/>
    <brk id="31" max="255" man="1"/>
    <brk id="36" max="255" man="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Z457"/>
  <sheetViews>
    <sheetView view="pageBreakPreview" zoomScale="70" zoomScaleNormal="59" zoomScaleSheetLayoutView="70" workbookViewId="0" topLeftCell="A1">
      <pane ySplit="8" topLeftCell="A21" activePane="bottomLeft" state="frozen"/>
      <selection pane="topLeft" activeCell="A1" sqref="A1"/>
      <selection pane="bottomLeft" activeCell="D26" sqref="D26"/>
    </sheetView>
  </sheetViews>
  <sheetFormatPr defaultColWidth="9.140625" defaultRowHeight="15"/>
  <cols>
    <col min="1" max="1" width="13.00390625" style="144" bestFit="1" customWidth="1"/>
    <col min="2" max="2" width="37.7109375" style="144" customWidth="1"/>
    <col min="3" max="3" width="23.140625" style="144" customWidth="1"/>
    <col min="4" max="4" width="20.7109375" style="144" customWidth="1"/>
    <col min="5" max="5" width="11.8515625" style="253" hidden="1" customWidth="1"/>
    <col min="6" max="6" width="25.00390625" style="144" customWidth="1"/>
    <col min="7" max="7" width="21.7109375" style="144" customWidth="1"/>
    <col min="8" max="10" width="21.00390625" style="144" customWidth="1"/>
    <col min="11" max="13" width="22.421875" style="144" customWidth="1"/>
    <col min="14" max="15" width="23.7109375" style="250" customWidth="1"/>
    <col min="16" max="16" width="9.140625" style="144" customWidth="1"/>
    <col min="17" max="17" width="43.28125" style="144" customWidth="1"/>
    <col min="18" max="18" width="13.57421875" style="144" customWidth="1"/>
    <col min="19" max="19" width="13.7109375" style="144" customWidth="1"/>
    <col min="20" max="16384" width="9.140625" style="144" customWidth="1"/>
  </cols>
  <sheetData>
    <row r="1" spans="1:15" ht="57.75" customHeight="1">
      <c r="A1" s="31"/>
      <c r="B1" s="31"/>
      <c r="C1" s="31"/>
      <c r="D1" s="32"/>
      <c r="E1" s="33"/>
      <c r="F1" s="34"/>
      <c r="G1" s="34"/>
      <c r="H1" s="237"/>
      <c r="I1" s="237"/>
      <c r="J1" s="237"/>
      <c r="K1" s="237"/>
      <c r="L1" s="237"/>
      <c r="M1" s="500" t="s">
        <v>602</v>
      </c>
      <c r="N1" s="500"/>
      <c r="O1" s="500"/>
    </row>
    <row r="2" spans="1:13" ht="6" customHeight="1">
      <c r="A2" s="31"/>
      <c r="B2" s="31"/>
      <c r="C2" s="31"/>
      <c r="D2" s="32"/>
      <c r="E2" s="33"/>
      <c r="F2" s="34"/>
      <c r="G2" s="34"/>
      <c r="H2" s="34"/>
      <c r="I2" s="34"/>
      <c r="J2" s="34"/>
      <c r="K2" s="34"/>
      <c r="L2" s="34"/>
      <c r="M2" s="34"/>
    </row>
    <row r="3" spans="1:15" ht="23.25">
      <c r="A3" s="501" t="s">
        <v>575</v>
      </c>
      <c r="B3" s="501"/>
      <c r="C3" s="501"/>
      <c r="D3" s="501"/>
      <c r="E3" s="501"/>
      <c r="F3" s="501"/>
      <c r="G3" s="501"/>
      <c r="H3" s="501"/>
      <c r="I3" s="501"/>
      <c r="J3" s="501"/>
      <c r="K3" s="501"/>
      <c r="L3" s="501"/>
      <c r="M3" s="501"/>
      <c r="N3" s="501"/>
      <c r="O3" s="501"/>
    </row>
    <row r="4" spans="1:15" ht="23.25">
      <c r="A4" s="501" t="s">
        <v>417</v>
      </c>
      <c r="B4" s="501"/>
      <c r="C4" s="501"/>
      <c r="D4" s="501"/>
      <c r="E4" s="501"/>
      <c r="F4" s="501"/>
      <c r="G4" s="501"/>
      <c r="H4" s="501"/>
      <c r="I4" s="501"/>
      <c r="J4" s="501"/>
      <c r="K4" s="501"/>
      <c r="L4" s="501"/>
      <c r="M4" s="501"/>
      <c r="N4" s="501"/>
      <c r="O4" s="501"/>
    </row>
    <row r="5" spans="1:15" ht="39" customHeight="1" thickBot="1">
      <c r="A5" s="31"/>
      <c r="B5" s="31"/>
      <c r="C5" s="31"/>
      <c r="D5" s="32"/>
      <c r="E5" s="33"/>
      <c r="F5" s="34"/>
      <c r="G5" s="34"/>
      <c r="H5" s="34"/>
      <c r="I5" s="34"/>
      <c r="J5" s="34"/>
      <c r="K5" s="36"/>
      <c r="L5" s="36"/>
      <c r="N5" s="261"/>
      <c r="O5" s="261" t="s">
        <v>112</v>
      </c>
    </row>
    <row r="6" spans="1:15" s="229" customFormat="1" ht="52.5" customHeight="1">
      <c r="A6" s="507" t="s">
        <v>106</v>
      </c>
      <c r="B6" s="502" t="s">
        <v>600</v>
      </c>
      <c r="C6" s="502"/>
      <c r="D6" s="502" t="s">
        <v>114</v>
      </c>
      <c r="E6" s="502"/>
      <c r="F6" s="504" t="s">
        <v>543</v>
      </c>
      <c r="G6" s="504"/>
      <c r="H6" s="504"/>
      <c r="I6" s="504"/>
      <c r="J6" s="504"/>
      <c r="K6" s="504"/>
      <c r="L6" s="504"/>
      <c r="M6" s="504"/>
      <c r="N6" s="505"/>
      <c r="O6" s="506"/>
    </row>
    <row r="7" spans="1:15" s="229" customFormat="1" ht="30" customHeight="1">
      <c r="A7" s="487"/>
      <c r="B7" s="503"/>
      <c r="C7" s="503"/>
      <c r="D7" s="39" t="s">
        <v>108</v>
      </c>
      <c r="E7" s="251" t="s">
        <v>198</v>
      </c>
      <c r="F7" s="38" t="s">
        <v>115</v>
      </c>
      <c r="G7" s="238">
        <v>2014</v>
      </c>
      <c r="H7" s="238">
        <v>2015</v>
      </c>
      <c r="I7" s="238">
        <v>2016</v>
      </c>
      <c r="J7" s="238">
        <v>2017</v>
      </c>
      <c r="K7" s="238">
        <v>2018</v>
      </c>
      <c r="L7" s="238">
        <v>2019</v>
      </c>
      <c r="M7" s="238">
        <v>2020</v>
      </c>
      <c r="N7" s="238">
        <v>2021</v>
      </c>
      <c r="O7" s="265">
        <v>2022</v>
      </c>
    </row>
    <row r="8" spans="1:15" s="229" customFormat="1" ht="18.75">
      <c r="A8" s="233">
        <v>1</v>
      </c>
      <c r="B8" s="42">
        <v>2</v>
      </c>
      <c r="C8" s="42">
        <v>3</v>
      </c>
      <c r="D8" s="42">
        <v>4</v>
      </c>
      <c r="E8" s="48">
        <v>5</v>
      </c>
      <c r="F8" s="44">
        <v>5</v>
      </c>
      <c r="G8" s="44">
        <v>6</v>
      </c>
      <c r="H8" s="44">
        <v>7</v>
      </c>
      <c r="I8" s="44">
        <v>8</v>
      </c>
      <c r="J8" s="44">
        <v>9</v>
      </c>
      <c r="K8" s="44">
        <v>10</v>
      </c>
      <c r="L8" s="44">
        <v>11</v>
      </c>
      <c r="M8" s="44">
        <v>12</v>
      </c>
      <c r="N8" s="44">
        <v>13</v>
      </c>
      <c r="O8" s="266">
        <v>14</v>
      </c>
    </row>
    <row r="9" spans="1:15" s="230" customFormat="1" ht="41.25" customHeight="1">
      <c r="A9" s="508"/>
      <c r="B9" s="496" t="s">
        <v>217</v>
      </c>
      <c r="C9" s="45" t="s">
        <v>116</v>
      </c>
      <c r="D9" s="42"/>
      <c r="E9" s="48"/>
      <c r="F9" s="49">
        <f aca="true" t="shared" si="0" ref="F9:F16">G9+H9+I9+J9+K9+L9+M9+O9+N9</f>
        <v>17316638.98173091</v>
      </c>
      <c r="G9" s="49">
        <f>SUM(G10:G15)</f>
        <v>1722457.75293</v>
      </c>
      <c r="H9" s="49">
        <f aca="true" t="shared" si="1" ref="H9:O9">SUM(H10:H15)</f>
        <v>1644160.8786699995</v>
      </c>
      <c r="I9" s="49">
        <f t="shared" si="1"/>
        <v>1739440.4019000002</v>
      </c>
      <c r="J9" s="49">
        <f t="shared" si="1"/>
        <v>2080407.0622999999</v>
      </c>
      <c r="K9" s="49">
        <f t="shared" si="1"/>
        <v>2075957.1359799998</v>
      </c>
      <c r="L9" s="49">
        <f>SUM(L10:L15)</f>
        <v>2140920.562050909</v>
      </c>
      <c r="M9" s="49">
        <f t="shared" si="1"/>
        <v>2510499.7656400003</v>
      </c>
      <c r="N9" s="49">
        <f>SUM(N10:N15)</f>
        <v>1491421.21063</v>
      </c>
      <c r="O9" s="267">
        <f t="shared" si="1"/>
        <v>1911374.21163</v>
      </c>
    </row>
    <row r="10" spans="1:15" s="230" customFormat="1" ht="56.25">
      <c r="A10" s="508"/>
      <c r="B10" s="496"/>
      <c r="C10" s="45" t="s">
        <v>117</v>
      </c>
      <c r="D10" s="48"/>
      <c r="E10" s="48"/>
      <c r="F10" s="49">
        <f t="shared" si="0"/>
        <v>2320809.7460000003</v>
      </c>
      <c r="G10" s="49">
        <f aca="true" t="shared" si="2" ref="G10:O10">G17+G74+G156+G181+G261+G363+G157</f>
        <v>98363.584</v>
      </c>
      <c r="H10" s="49">
        <f t="shared" si="2"/>
        <v>102115.062</v>
      </c>
      <c r="I10" s="49">
        <f t="shared" si="2"/>
        <v>17202.2</v>
      </c>
      <c r="J10" s="49">
        <f t="shared" si="2"/>
        <v>37810</v>
      </c>
      <c r="K10" s="49">
        <f t="shared" si="2"/>
        <v>215527.4</v>
      </c>
      <c r="L10" s="49">
        <f t="shared" si="2"/>
        <v>452642.6</v>
      </c>
      <c r="M10" s="49">
        <f t="shared" si="2"/>
        <v>557991.7000000001</v>
      </c>
      <c r="N10" s="49">
        <f t="shared" si="2"/>
        <v>207027.5</v>
      </c>
      <c r="O10" s="49">
        <f t="shared" si="2"/>
        <v>632129.7</v>
      </c>
    </row>
    <row r="11" spans="1:15" s="230" customFormat="1" ht="37.5">
      <c r="A11" s="508"/>
      <c r="B11" s="496"/>
      <c r="C11" s="45" t="s">
        <v>118</v>
      </c>
      <c r="D11" s="48"/>
      <c r="E11" s="48"/>
      <c r="F11" s="49">
        <f t="shared" si="0"/>
        <v>14718399.03028</v>
      </c>
      <c r="G11" s="49">
        <f>G18+G75+G158+G184+G262+G364</f>
        <v>1593895.6534799999</v>
      </c>
      <c r="H11" s="49">
        <f>H18+H75+H158+H184+H262+H364</f>
        <v>1520923.2696699996</v>
      </c>
      <c r="I11" s="49">
        <f>I18+I75+I158+I184+I262+I364</f>
        <v>1695984.0189000003</v>
      </c>
      <c r="J11" s="49">
        <f>J18+J75+J158+J184+J262+J364</f>
        <v>1996536.3871</v>
      </c>
      <c r="K11" s="49">
        <f>K18+K75+K158+K184+K262+K364</f>
        <v>1829468.91698</v>
      </c>
      <c r="L11" s="49">
        <f>L18+L75+L158+L184+L262+L364+L159</f>
        <v>1656926.87307</v>
      </c>
      <c r="M11" s="49">
        <f>M18+M75+M158+M184+M262+M364+M159</f>
        <v>1922100.4800800001</v>
      </c>
      <c r="N11" s="49">
        <f>N18+N75+N158+N184+N262+N364+N159</f>
        <v>1253856.3150000002</v>
      </c>
      <c r="O11" s="268">
        <f>O18+O75+O158+O184+O262+O364+O159</f>
        <v>1248707.1160000002</v>
      </c>
    </row>
    <row r="12" spans="1:15" s="230" customFormat="1" ht="56.25">
      <c r="A12" s="508"/>
      <c r="B12" s="496"/>
      <c r="C12" s="45" t="s">
        <v>119</v>
      </c>
      <c r="D12" s="48"/>
      <c r="E12" s="48"/>
      <c r="F12" s="49">
        <f t="shared" si="0"/>
        <v>273980.2054509091</v>
      </c>
      <c r="G12" s="49">
        <f aca="true" t="shared" si="3" ref="G12:O12">G19+G76+G160+G187+G267+G372</f>
        <v>29623.51545</v>
      </c>
      <c r="H12" s="49">
        <f t="shared" si="3"/>
        <v>20547.547000000002</v>
      </c>
      <c r="I12" s="49">
        <f t="shared" si="3"/>
        <v>25679.183</v>
      </c>
      <c r="J12" s="49">
        <f t="shared" si="3"/>
        <v>45485.6752</v>
      </c>
      <c r="K12" s="49">
        <f t="shared" si="3"/>
        <v>30385.819</v>
      </c>
      <c r="L12" s="49">
        <f t="shared" si="3"/>
        <v>30776.08898090909</v>
      </c>
      <c r="M12" s="49">
        <f t="shared" si="3"/>
        <v>30407.58556</v>
      </c>
      <c r="N12" s="49">
        <f t="shared" si="3"/>
        <v>30537.395630000003</v>
      </c>
      <c r="O12" s="267">
        <f t="shared" si="3"/>
        <v>30537.395630000003</v>
      </c>
    </row>
    <row r="13" spans="1:15" s="230" customFormat="1" ht="56.25">
      <c r="A13" s="508"/>
      <c r="B13" s="496"/>
      <c r="C13" s="45" t="s">
        <v>120</v>
      </c>
      <c r="D13" s="48"/>
      <c r="E13" s="48"/>
      <c r="F13" s="49">
        <f t="shared" si="0"/>
        <v>0</v>
      </c>
      <c r="G13" s="49">
        <f aca="true" t="shared" si="4" ref="G13:O13">G20+G77+G161+G188+G268+G373</f>
        <v>0</v>
      </c>
      <c r="H13" s="49">
        <f t="shared" si="4"/>
        <v>0</v>
      </c>
      <c r="I13" s="49">
        <f t="shared" si="4"/>
        <v>0</v>
      </c>
      <c r="J13" s="49">
        <f t="shared" si="4"/>
        <v>0</v>
      </c>
      <c r="K13" s="49">
        <f t="shared" si="4"/>
        <v>0</v>
      </c>
      <c r="L13" s="49">
        <f t="shared" si="4"/>
        <v>0</v>
      </c>
      <c r="M13" s="49">
        <f t="shared" si="4"/>
        <v>0</v>
      </c>
      <c r="N13" s="49">
        <f t="shared" si="4"/>
        <v>0</v>
      </c>
      <c r="O13" s="267">
        <f t="shared" si="4"/>
        <v>0</v>
      </c>
    </row>
    <row r="14" spans="1:15" s="230" customFormat="1" ht="56.25">
      <c r="A14" s="508"/>
      <c r="B14" s="496"/>
      <c r="C14" s="45" t="s">
        <v>192</v>
      </c>
      <c r="D14" s="48"/>
      <c r="E14" s="48"/>
      <c r="F14" s="49">
        <f t="shared" si="0"/>
        <v>3450</v>
      </c>
      <c r="G14" s="49">
        <f aca="true" t="shared" si="5" ref="G14:O14">G21+G78+G162+G189+G269+G374</f>
        <v>575</v>
      </c>
      <c r="H14" s="49">
        <f t="shared" si="5"/>
        <v>575</v>
      </c>
      <c r="I14" s="49">
        <f t="shared" si="5"/>
        <v>575</v>
      </c>
      <c r="J14" s="49">
        <f t="shared" si="5"/>
        <v>575</v>
      </c>
      <c r="K14" s="49">
        <f t="shared" si="5"/>
        <v>575</v>
      </c>
      <c r="L14" s="49">
        <f t="shared" si="5"/>
        <v>575</v>
      </c>
      <c r="M14" s="49">
        <f t="shared" si="5"/>
        <v>0</v>
      </c>
      <c r="N14" s="49">
        <f t="shared" si="5"/>
        <v>0</v>
      </c>
      <c r="O14" s="267">
        <f t="shared" si="5"/>
        <v>0</v>
      </c>
    </row>
    <row r="15" spans="1:15" s="230" customFormat="1" ht="112.5">
      <c r="A15" s="508"/>
      <c r="B15" s="496"/>
      <c r="C15" s="45" t="s">
        <v>177</v>
      </c>
      <c r="D15" s="48"/>
      <c r="E15" s="48"/>
      <c r="F15" s="49">
        <f t="shared" si="0"/>
        <v>0</v>
      </c>
      <c r="G15" s="49">
        <f aca="true" t="shared" si="6" ref="G15:O15">G22+G79+G163+G190+G270+G375</f>
        <v>0</v>
      </c>
      <c r="H15" s="49">
        <f t="shared" si="6"/>
        <v>0</v>
      </c>
      <c r="I15" s="49">
        <f t="shared" si="6"/>
        <v>0</v>
      </c>
      <c r="J15" s="49">
        <f t="shared" si="6"/>
        <v>0</v>
      </c>
      <c r="K15" s="49">
        <f t="shared" si="6"/>
        <v>0</v>
      </c>
      <c r="L15" s="49">
        <f t="shared" si="6"/>
        <v>0</v>
      </c>
      <c r="M15" s="49">
        <f t="shared" si="6"/>
        <v>0</v>
      </c>
      <c r="N15" s="49">
        <f t="shared" si="6"/>
        <v>0</v>
      </c>
      <c r="O15" s="267">
        <f t="shared" si="6"/>
        <v>0</v>
      </c>
    </row>
    <row r="16" spans="1:15" s="230" customFormat="1" ht="37.5">
      <c r="A16" s="492" t="s">
        <v>50</v>
      </c>
      <c r="B16" s="496" t="s">
        <v>179</v>
      </c>
      <c r="C16" s="45" t="s">
        <v>116</v>
      </c>
      <c r="D16" s="42"/>
      <c r="E16" s="48"/>
      <c r="F16" s="49">
        <f t="shared" si="0"/>
        <v>318197.88752000005</v>
      </c>
      <c r="G16" s="49">
        <f>G17+G18+G19+G20+G21+G22</f>
        <v>30197.313390000003</v>
      </c>
      <c r="H16" s="49">
        <f aca="true" t="shared" si="7" ref="H16:O16">H17+H18+H19+H20+H21+H22</f>
        <v>38076.90602</v>
      </c>
      <c r="I16" s="49">
        <f t="shared" si="7"/>
        <v>56512.95668</v>
      </c>
      <c r="J16" s="49">
        <f t="shared" si="7"/>
        <v>24323.65</v>
      </c>
      <c r="K16" s="49">
        <f t="shared" si="7"/>
        <v>30472.2589</v>
      </c>
      <c r="L16" s="49">
        <f t="shared" si="7"/>
        <v>44464.816600000006</v>
      </c>
      <c r="M16" s="49">
        <f t="shared" si="7"/>
        <v>64206.3968</v>
      </c>
      <c r="N16" s="49">
        <f>N17+N18+N19+N20+N21+N22</f>
        <v>15349.04456</v>
      </c>
      <c r="O16" s="267">
        <f t="shared" si="7"/>
        <v>14594.54457</v>
      </c>
    </row>
    <row r="17" spans="1:15" s="230" customFormat="1" ht="56.25">
      <c r="A17" s="492"/>
      <c r="B17" s="496"/>
      <c r="C17" s="45" t="s">
        <v>117</v>
      </c>
      <c r="D17" s="42"/>
      <c r="E17" s="48"/>
      <c r="F17" s="49">
        <f aca="true" t="shared" si="8" ref="F17:F22">G17+H17+I17+J17+K17+L17+M17+O17+N17</f>
        <v>31260.199999999997</v>
      </c>
      <c r="G17" s="49">
        <f>G24+G31+G39</f>
        <v>0</v>
      </c>
      <c r="H17" s="49">
        <f aca="true" t="shared" si="9" ref="H17:K18">H24+H31+H39</f>
        <v>0</v>
      </c>
      <c r="I17" s="49">
        <f t="shared" si="9"/>
        <v>733.6</v>
      </c>
      <c r="J17" s="49">
        <f t="shared" si="9"/>
        <v>0</v>
      </c>
      <c r="K17" s="49">
        <f>K24+K31+K39</f>
        <v>0</v>
      </c>
      <c r="L17" s="49">
        <f>L24+L31+L39+L60+L46+L53</f>
        <v>13863.7</v>
      </c>
      <c r="M17" s="49">
        <f>M24+M31+M39+M60+M46+M53</f>
        <v>7284.7</v>
      </c>
      <c r="N17" s="49">
        <f>N24+N31+N39+N60+N46+N53</f>
        <v>4689.1</v>
      </c>
      <c r="O17" s="267">
        <f>O24+O31+O39+O60+O46+O53</f>
        <v>4689.1</v>
      </c>
    </row>
    <row r="18" spans="1:15" s="230" customFormat="1" ht="37.5">
      <c r="A18" s="492"/>
      <c r="B18" s="496"/>
      <c r="C18" s="45" t="s">
        <v>118</v>
      </c>
      <c r="D18" s="48"/>
      <c r="E18" s="48" t="s">
        <v>226</v>
      </c>
      <c r="F18" s="49">
        <f t="shared" si="8"/>
        <v>283920.32980999997</v>
      </c>
      <c r="G18" s="49">
        <f>G25+G32+G40</f>
        <v>29569.14439</v>
      </c>
      <c r="H18" s="49">
        <f t="shared" si="9"/>
        <v>37719.00602</v>
      </c>
      <c r="I18" s="49">
        <f t="shared" si="9"/>
        <v>55143.78768</v>
      </c>
      <c r="J18" s="49">
        <f t="shared" si="9"/>
        <v>24323.65</v>
      </c>
      <c r="K18" s="49">
        <f t="shared" si="9"/>
        <v>30320.499900000003</v>
      </c>
      <c r="L18" s="49">
        <f>L25+L32+L40+L54+L61+L47</f>
        <v>30164.79971</v>
      </c>
      <c r="M18" s="49">
        <f>M25+M32+M40+M54+M61+M47</f>
        <v>56639.21282000001</v>
      </c>
      <c r="N18" s="49">
        <f>N25+N32+N40+N54+N61+N47</f>
        <v>10397.36464</v>
      </c>
      <c r="O18" s="267">
        <f>O25+O32+O40+O54+O61+O47</f>
        <v>9642.86465</v>
      </c>
    </row>
    <row r="19" spans="1:15" s="230" customFormat="1" ht="56.25">
      <c r="A19" s="492"/>
      <c r="B19" s="496"/>
      <c r="C19" s="45" t="s">
        <v>119</v>
      </c>
      <c r="D19" s="48"/>
      <c r="E19" s="48"/>
      <c r="F19" s="49">
        <f t="shared" si="8"/>
        <v>3017.35771</v>
      </c>
      <c r="G19" s="49">
        <f>G26+G34+G41</f>
        <v>628.169</v>
      </c>
      <c r="H19" s="49">
        <f>H26+H34+H41</f>
        <v>357.9</v>
      </c>
      <c r="I19" s="49">
        <f>I26+I34+I41</f>
        <v>635.569</v>
      </c>
      <c r="J19" s="49">
        <f>J26+J34+J41</f>
        <v>0</v>
      </c>
      <c r="K19" s="49">
        <f>K26+K34+K41</f>
        <v>151.759</v>
      </c>
      <c r="L19" s="49">
        <f>L26+L34+L41+L48+L55+L62</f>
        <v>436.31689</v>
      </c>
      <c r="M19" s="49">
        <f>M26+M34+M41+M48+M55+M62</f>
        <v>282.48398</v>
      </c>
      <c r="N19" s="49">
        <f>N26+N34+N41+N48+N55+N62</f>
        <v>262.57992</v>
      </c>
      <c r="O19" s="267">
        <f>O26+O34+O41+O48+O55+O62</f>
        <v>262.57992</v>
      </c>
    </row>
    <row r="20" spans="1:15" s="230" customFormat="1" ht="56.25">
      <c r="A20" s="492"/>
      <c r="B20" s="496"/>
      <c r="C20" s="45" t="s">
        <v>120</v>
      </c>
      <c r="D20" s="48"/>
      <c r="E20" s="48"/>
      <c r="F20" s="49">
        <f t="shared" si="8"/>
        <v>0</v>
      </c>
      <c r="G20" s="49">
        <f>G27+G35+G42</f>
        <v>0</v>
      </c>
      <c r="H20" s="49">
        <f aca="true" t="shared" si="10" ref="G20:H22">H27+H35+H42</f>
        <v>0</v>
      </c>
      <c r="I20" s="49">
        <f aca="true" t="shared" si="11" ref="I20:O22">I27+I35+I42</f>
        <v>0</v>
      </c>
      <c r="J20" s="49">
        <f t="shared" si="11"/>
        <v>0</v>
      </c>
      <c r="K20" s="49">
        <f t="shared" si="11"/>
        <v>0</v>
      </c>
      <c r="L20" s="49">
        <f t="shared" si="11"/>
        <v>0</v>
      </c>
      <c r="M20" s="49">
        <f t="shared" si="11"/>
        <v>0</v>
      </c>
      <c r="N20" s="49">
        <f>N27+N35+N42</f>
        <v>0</v>
      </c>
      <c r="O20" s="267">
        <f t="shared" si="11"/>
        <v>0</v>
      </c>
    </row>
    <row r="21" spans="1:15" s="230" customFormat="1" ht="56.25">
      <c r="A21" s="492"/>
      <c r="B21" s="496"/>
      <c r="C21" s="45" t="s">
        <v>192</v>
      </c>
      <c r="D21" s="48"/>
      <c r="E21" s="48"/>
      <c r="F21" s="49">
        <f t="shared" si="8"/>
        <v>0</v>
      </c>
      <c r="G21" s="49">
        <f t="shared" si="10"/>
        <v>0</v>
      </c>
      <c r="H21" s="49">
        <f t="shared" si="10"/>
        <v>0</v>
      </c>
      <c r="I21" s="49">
        <f t="shared" si="11"/>
        <v>0</v>
      </c>
      <c r="J21" s="49">
        <f t="shared" si="11"/>
        <v>0</v>
      </c>
      <c r="K21" s="49">
        <f t="shared" si="11"/>
        <v>0</v>
      </c>
      <c r="L21" s="49">
        <f t="shared" si="11"/>
        <v>0</v>
      </c>
      <c r="M21" s="49">
        <f t="shared" si="11"/>
        <v>0</v>
      </c>
      <c r="N21" s="49">
        <f>N28+N36+N43</f>
        <v>0</v>
      </c>
      <c r="O21" s="267">
        <f t="shared" si="11"/>
        <v>0</v>
      </c>
    </row>
    <row r="22" spans="1:15" s="230" customFormat="1" ht="112.5">
      <c r="A22" s="492"/>
      <c r="B22" s="496"/>
      <c r="C22" s="45" t="s">
        <v>178</v>
      </c>
      <c r="D22" s="48"/>
      <c r="E22" s="48"/>
      <c r="F22" s="49">
        <f t="shared" si="8"/>
        <v>0</v>
      </c>
      <c r="G22" s="49">
        <f t="shared" si="10"/>
        <v>0</v>
      </c>
      <c r="H22" s="49">
        <f t="shared" si="10"/>
        <v>0</v>
      </c>
      <c r="I22" s="49">
        <f t="shared" si="11"/>
        <v>0</v>
      </c>
      <c r="J22" s="49">
        <f t="shared" si="11"/>
        <v>0</v>
      </c>
      <c r="K22" s="49">
        <f t="shared" si="11"/>
        <v>0</v>
      </c>
      <c r="L22" s="49">
        <f t="shared" si="11"/>
        <v>0</v>
      </c>
      <c r="M22" s="49">
        <f t="shared" si="11"/>
        <v>0</v>
      </c>
      <c r="N22" s="49">
        <f>N29+N37+N44</f>
        <v>0</v>
      </c>
      <c r="O22" s="267">
        <f t="shared" si="11"/>
        <v>0</v>
      </c>
    </row>
    <row r="23" spans="1:15" s="230" customFormat="1" ht="37.5">
      <c r="A23" s="487" t="s">
        <v>121</v>
      </c>
      <c r="B23" s="488" t="s">
        <v>577</v>
      </c>
      <c r="C23" s="45" t="s">
        <v>116</v>
      </c>
      <c r="D23" s="42"/>
      <c r="E23" s="48"/>
      <c r="F23" s="49">
        <f>G23+H23+I23+J23+K23+L23+M23+O23+N23</f>
        <v>20021.92539</v>
      </c>
      <c r="G23" s="49">
        <f aca="true" t="shared" si="12" ref="G23:O23">G25</f>
        <v>2985.94939</v>
      </c>
      <c r="H23" s="49">
        <f t="shared" si="12"/>
        <v>3481.116</v>
      </c>
      <c r="I23" s="49">
        <f t="shared" si="12"/>
        <v>3090</v>
      </c>
      <c r="J23" s="49">
        <f t="shared" si="12"/>
        <v>2000</v>
      </c>
      <c r="K23" s="49">
        <f t="shared" si="12"/>
        <v>5314.860000000001</v>
      </c>
      <c r="L23" s="49">
        <f t="shared" si="12"/>
        <v>1100</v>
      </c>
      <c r="M23" s="49">
        <f t="shared" si="12"/>
        <v>1100</v>
      </c>
      <c r="N23" s="49">
        <f>N25</f>
        <v>500</v>
      </c>
      <c r="O23" s="267">
        <f t="shared" si="12"/>
        <v>450</v>
      </c>
    </row>
    <row r="24" spans="1:15" s="230" customFormat="1" ht="56.25">
      <c r="A24" s="487"/>
      <c r="B24" s="488"/>
      <c r="C24" s="45" t="s">
        <v>117</v>
      </c>
      <c r="D24" s="42"/>
      <c r="E24" s="48"/>
      <c r="F24" s="49">
        <f aca="true" t="shared" si="13" ref="F24:F29">G24+H24+I24+J24+K24+L24+M24+O24+N24</f>
        <v>0</v>
      </c>
      <c r="G24" s="49">
        <f>'приложение 8'!D47</f>
        <v>0</v>
      </c>
      <c r="H24" s="49">
        <f>'приложение 8'!E47</f>
        <v>0</v>
      </c>
      <c r="I24" s="49">
        <f>'приложение 8'!F47</f>
        <v>0</v>
      </c>
      <c r="J24" s="49">
        <f>'приложение 8'!G47</f>
        <v>0</v>
      </c>
      <c r="K24" s="49">
        <v>0</v>
      </c>
      <c r="L24" s="49">
        <v>0</v>
      </c>
      <c r="M24" s="49">
        <v>0</v>
      </c>
      <c r="N24" s="59">
        <v>0</v>
      </c>
      <c r="O24" s="269">
        <v>0</v>
      </c>
    </row>
    <row r="25" spans="1:15" s="230" customFormat="1" ht="37.5">
      <c r="A25" s="487"/>
      <c r="B25" s="488"/>
      <c r="C25" s="45" t="s">
        <v>118</v>
      </c>
      <c r="D25" s="48" t="s">
        <v>109</v>
      </c>
      <c r="E25" s="48" t="s">
        <v>226</v>
      </c>
      <c r="F25" s="49">
        <f t="shared" si="13"/>
        <v>20021.92539</v>
      </c>
      <c r="G25" s="49">
        <f>'приложение 8'!D48</f>
        <v>2985.94939</v>
      </c>
      <c r="H25" s="49">
        <f>'приложение 8'!E48</f>
        <v>3481.116</v>
      </c>
      <c r="I25" s="49">
        <f>'приложение 8'!F48</f>
        <v>3090</v>
      </c>
      <c r="J25" s="49">
        <f>'приложение 8'!G48</f>
        <v>2000</v>
      </c>
      <c r="K25" s="49">
        <f>1830.105+2584.755+900</f>
        <v>5314.860000000001</v>
      </c>
      <c r="L25" s="49">
        <f>1000+100</f>
        <v>1100</v>
      </c>
      <c r="M25" s="85">
        <f>1000+100</f>
        <v>1100</v>
      </c>
      <c r="N25" s="59">
        <f>416+84</f>
        <v>500</v>
      </c>
      <c r="O25" s="269">
        <f>366+84</f>
        <v>450</v>
      </c>
    </row>
    <row r="26" spans="1:15" s="230" customFormat="1" ht="56.25">
      <c r="A26" s="487"/>
      <c r="B26" s="488"/>
      <c r="C26" s="45" t="s">
        <v>119</v>
      </c>
      <c r="D26" s="48"/>
      <c r="E26" s="48"/>
      <c r="F26" s="49">
        <f t="shared" si="13"/>
        <v>0</v>
      </c>
      <c r="G26" s="49">
        <f>'приложение 8'!D49</f>
        <v>0</v>
      </c>
      <c r="H26" s="49">
        <f>'приложение 8'!E49</f>
        <v>0</v>
      </c>
      <c r="I26" s="49">
        <f>'приложение 8'!F49</f>
        <v>0</v>
      </c>
      <c r="J26" s="49">
        <f>'приложение 8'!G49</f>
        <v>0</v>
      </c>
      <c r="K26" s="49">
        <v>0</v>
      </c>
      <c r="L26" s="49">
        <v>0</v>
      </c>
      <c r="M26" s="49">
        <v>0</v>
      </c>
      <c r="N26" s="59">
        <v>0</v>
      </c>
      <c r="O26" s="269">
        <v>0</v>
      </c>
    </row>
    <row r="27" spans="1:15" s="230" customFormat="1" ht="56.25">
      <c r="A27" s="487"/>
      <c r="B27" s="488"/>
      <c r="C27" s="45" t="s">
        <v>120</v>
      </c>
      <c r="D27" s="48"/>
      <c r="E27" s="48"/>
      <c r="F27" s="49">
        <f t="shared" si="13"/>
        <v>0</v>
      </c>
      <c r="G27" s="49">
        <f>'приложение 8'!D50</f>
        <v>0</v>
      </c>
      <c r="H27" s="49">
        <f>'приложение 8'!E50</f>
        <v>0</v>
      </c>
      <c r="I27" s="49">
        <f>'приложение 8'!F50</f>
        <v>0</v>
      </c>
      <c r="J27" s="49">
        <f>'приложение 8'!G50</f>
        <v>0</v>
      </c>
      <c r="K27" s="49">
        <v>0</v>
      </c>
      <c r="L27" s="49">
        <v>0</v>
      </c>
      <c r="M27" s="49">
        <v>0</v>
      </c>
      <c r="N27" s="59">
        <v>0</v>
      </c>
      <c r="O27" s="269">
        <v>0</v>
      </c>
    </row>
    <row r="28" spans="1:15" s="230" customFormat="1" ht="56.25">
      <c r="A28" s="487"/>
      <c r="B28" s="488"/>
      <c r="C28" s="45" t="s">
        <v>192</v>
      </c>
      <c r="D28" s="48"/>
      <c r="E28" s="48"/>
      <c r="F28" s="49">
        <f t="shared" si="13"/>
        <v>0</v>
      </c>
      <c r="G28" s="49">
        <f>'приложение 8'!D50</f>
        <v>0</v>
      </c>
      <c r="H28" s="49">
        <f>'приложение 8'!E50</f>
        <v>0</v>
      </c>
      <c r="I28" s="49">
        <f>'приложение 8'!F50</f>
        <v>0</v>
      </c>
      <c r="J28" s="49">
        <f>'приложение 8'!G50</f>
        <v>0</v>
      </c>
      <c r="K28" s="49">
        <v>0</v>
      </c>
      <c r="L28" s="49">
        <v>0</v>
      </c>
      <c r="M28" s="49">
        <v>0</v>
      </c>
      <c r="N28" s="59">
        <v>0</v>
      </c>
      <c r="O28" s="269">
        <v>0</v>
      </c>
    </row>
    <row r="29" spans="1:15" s="230" customFormat="1" ht="112.5">
      <c r="A29" s="487"/>
      <c r="B29" s="488"/>
      <c r="C29" s="45" t="s">
        <v>178</v>
      </c>
      <c r="D29" s="48"/>
      <c r="E29" s="48"/>
      <c r="F29" s="49">
        <f t="shared" si="13"/>
        <v>0</v>
      </c>
      <c r="G29" s="49">
        <v>0</v>
      </c>
      <c r="H29" s="49">
        <v>0</v>
      </c>
      <c r="I29" s="49">
        <v>0</v>
      </c>
      <c r="J29" s="49">
        <v>0</v>
      </c>
      <c r="K29" s="49">
        <v>0</v>
      </c>
      <c r="L29" s="49">
        <v>0</v>
      </c>
      <c r="M29" s="49">
        <v>0</v>
      </c>
      <c r="N29" s="59">
        <v>0</v>
      </c>
      <c r="O29" s="269">
        <v>0</v>
      </c>
    </row>
    <row r="30" spans="1:15" s="230" customFormat="1" ht="37.5">
      <c r="A30" s="487" t="s">
        <v>123</v>
      </c>
      <c r="B30" s="488" t="s">
        <v>578</v>
      </c>
      <c r="C30" s="45" t="s">
        <v>116</v>
      </c>
      <c r="D30" s="48"/>
      <c r="E30" s="48"/>
      <c r="F30" s="49">
        <f>G30+H30+I30+J30+K30+L30+M30+O30+N30</f>
        <v>224086.4229</v>
      </c>
      <c r="G30" s="49">
        <f aca="true" t="shared" si="14" ref="G30:O30">G31+G32</f>
        <v>25138.195</v>
      </c>
      <c r="H30" s="49">
        <f t="shared" si="14"/>
        <v>32792.89002</v>
      </c>
      <c r="I30" s="49">
        <f t="shared" si="14"/>
        <v>51247.38768</v>
      </c>
      <c r="J30" s="49">
        <f t="shared" si="14"/>
        <v>22323.65</v>
      </c>
      <c r="K30" s="49">
        <f t="shared" si="14"/>
        <v>22333.4399</v>
      </c>
      <c r="L30" s="49">
        <f t="shared" si="14"/>
        <v>21016.8603</v>
      </c>
      <c r="M30" s="49">
        <f t="shared" si="14"/>
        <v>31300</v>
      </c>
      <c r="N30" s="49">
        <f>N31+N32</f>
        <v>9300</v>
      </c>
      <c r="O30" s="267">
        <f t="shared" si="14"/>
        <v>8634</v>
      </c>
    </row>
    <row r="31" spans="1:15" s="230" customFormat="1" ht="56.25">
      <c r="A31" s="487"/>
      <c r="B31" s="488"/>
      <c r="C31" s="45" t="s">
        <v>117</v>
      </c>
      <c r="D31" s="42"/>
      <c r="E31" s="48"/>
      <c r="F31" s="49">
        <f aca="true" t="shared" si="15" ref="F31:F94">G31+H31+I31+J31+K31+L31+M31+O31+N31</f>
        <v>733.6</v>
      </c>
      <c r="G31" s="49">
        <f>'приложение 8'!D61</f>
        <v>0</v>
      </c>
      <c r="H31" s="49">
        <f>'приложение 8'!E61</f>
        <v>0</v>
      </c>
      <c r="I31" s="49">
        <f>'приложение 8'!F61</f>
        <v>733.6</v>
      </c>
      <c r="J31" s="49">
        <f>'приложение 8'!G61</f>
        <v>0</v>
      </c>
      <c r="K31" s="49">
        <v>0</v>
      </c>
      <c r="L31" s="49"/>
      <c r="M31" s="49"/>
      <c r="N31" s="59"/>
      <c r="O31" s="269"/>
    </row>
    <row r="32" spans="1:15" s="230" customFormat="1" ht="37.5">
      <c r="A32" s="487"/>
      <c r="B32" s="488"/>
      <c r="C32" s="45" t="s">
        <v>118</v>
      </c>
      <c r="D32" s="48" t="s">
        <v>109</v>
      </c>
      <c r="E32" s="48" t="s">
        <v>226</v>
      </c>
      <c r="F32" s="49">
        <f t="shared" si="15"/>
        <v>223352.8229</v>
      </c>
      <c r="G32" s="49">
        <f>'приложение 8'!D62</f>
        <v>25138.195</v>
      </c>
      <c r="H32" s="49">
        <f>'приложение 8'!E62</f>
        <v>32792.89002</v>
      </c>
      <c r="I32" s="49">
        <f>'приложение 8'!F62</f>
        <v>50513.78768</v>
      </c>
      <c r="J32" s="49">
        <f>'приложение 8'!G62</f>
        <v>22323.65</v>
      </c>
      <c r="K32" s="49">
        <f>5982.1+4550+11801.3399</f>
        <v>22333.4399</v>
      </c>
      <c r="L32" s="49">
        <f>21016.8603</f>
        <v>21016.8603</v>
      </c>
      <c r="M32" s="85">
        <f>7090+9410+14800</f>
        <v>31300</v>
      </c>
      <c r="N32" s="59">
        <f>1900+7400</f>
        <v>9300</v>
      </c>
      <c r="O32" s="269">
        <f>1752+6882</f>
        <v>8634</v>
      </c>
    </row>
    <row r="33" spans="1:15" s="230" customFormat="1" ht="37.5" hidden="1">
      <c r="A33" s="487"/>
      <c r="B33" s="488"/>
      <c r="C33" s="45" t="s">
        <v>118</v>
      </c>
      <c r="D33" s="48" t="s">
        <v>109</v>
      </c>
      <c r="E33" s="48" t="s">
        <v>154</v>
      </c>
      <c r="F33" s="49">
        <f t="shared" si="15"/>
        <v>77910</v>
      </c>
      <c r="G33" s="49">
        <v>11130</v>
      </c>
      <c r="H33" s="49">
        <v>11130</v>
      </c>
      <c r="I33" s="49">
        <v>11130</v>
      </c>
      <c r="J33" s="49">
        <v>11130</v>
      </c>
      <c r="K33" s="49">
        <v>11130</v>
      </c>
      <c r="L33" s="49">
        <v>11130</v>
      </c>
      <c r="M33" s="49">
        <v>11130</v>
      </c>
      <c r="N33" s="59">
        <v>0</v>
      </c>
      <c r="O33" s="269">
        <v>0</v>
      </c>
    </row>
    <row r="34" spans="1:15" s="230" customFormat="1" ht="56.25">
      <c r="A34" s="487"/>
      <c r="B34" s="488"/>
      <c r="C34" s="45" t="s">
        <v>119</v>
      </c>
      <c r="D34" s="48"/>
      <c r="E34" s="48"/>
      <c r="F34" s="49">
        <f t="shared" si="15"/>
        <v>0</v>
      </c>
      <c r="G34" s="49">
        <f>'приложение 8'!D63</f>
        <v>0</v>
      </c>
      <c r="H34" s="49">
        <f>'приложение 8'!E63</f>
        <v>0</v>
      </c>
      <c r="I34" s="49">
        <f>'приложение 8'!F63</f>
        <v>0</v>
      </c>
      <c r="J34" s="49">
        <f>'приложение 8'!G63</f>
        <v>0</v>
      </c>
      <c r="K34" s="49">
        <v>0</v>
      </c>
      <c r="L34" s="49">
        <v>0</v>
      </c>
      <c r="M34" s="49">
        <v>0</v>
      </c>
      <c r="N34" s="59">
        <v>0</v>
      </c>
      <c r="O34" s="269">
        <v>0</v>
      </c>
    </row>
    <row r="35" spans="1:15" s="230" customFormat="1" ht="56.25">
      <c r="A35" s="487"/>
      <c r="B35" s="488"/>
      <c r="C35" s="45" t="s">
        <v>192</v>
      </c>
      <c r="D35" s="48"/>
      <c r="E35" s="48"/>
      <c r="F35" s="49">
        <f t="shared" si="15"/>
        <v>0</v>
      </c>
      <c r="G35" s="49">
        <f>'приложение 8'!D64</f>
        <v>0</v>
      </c>
      <c r="H35" s="49">
        <f>'приложение 8'!E64</f>
        <v>0</v>
      </c>
      <c r="I35" s="49">
        <f>'приложение 8'!F64</f>
        <v>0</v>
      </c>
      <c r="J35" s="49">
        <f>'приложение 8'!G64</f>
        <v>0</v>
      </c>
      <c r="K35" s="49">
        <v>0</v>
      </c>
      <c r="L35" s="49">
        <v>0</v>
      </c>
      <c r="M35" s="49">
        <v>0</v>
      </c>
      <c r="N35" s="59">
        <v>0</v>
      </c>
      <c r="O35" s="269">
        <v>0</v>
      </c>
    </row>
    <row r="36" spans="1:15" s="230" customFormat="1" ht="56.25">
      <c r="A36" s="487"/>
      <c r="B36" s="488"/>
      <c r="C36" s="45" t="s">
        <v>192</v>
      </c>
      <c r="D36" s="48"/>
      <c r="E36" s="48"/>
      <c r="F36" s="49">
        <f t="shared" si="15"/>
        <v>0</v>
      </c>
      <c r="G36" s="49">
        <f>'приложение 8'!D64</f>
        <v>0</v>
      </c>
      <c r="H36" s="49">
        <f>'приложение 8'!E64</f>
        <v>0</v>
      </c>
      <c r="I36" s="49">
        <f>'приложение 8'!F64</f>
        <v>0</v>
      </c>
      <c r="J36" s="49">
        <f>'приложение 8'!G64</f>
        <v>0</v>
      </c>
      <c r="K36" s="49">
        <v>0</v>
      </c>
      <c r="L36" s="49">
        <v>0</v>
      </c>
      <c r="M36" s="49">
        <v>0</v>
      </c>
      <c r="N36" s="59">
        <v>0</v>
      </c>
      <c r="O36" s="269">
        <v>0</v>
      </c>
    </row>
    <row r="37" spans="1:15" s="230" customFormat="1" ht="112.5">
      <c r="A37" s="487"/>
      <c r="B37" s="488"/>
      <c r="C37" s="45" t="s">
        <v>178</v>
      </c>
      <c r="D37" s="48"/>
      <c r="E37" s="48"/>
      <c r="F37" s="49">
        <f t="shared" si="15"/>
        <v>0</v>
      </c>
      <c r="G37" s="49">
        <v>0</v>
      </c>
      <c r="H37" s="49">
        <v>0</v>
      </c>
      <c r="I37" s="49">
        <v>0</v>
      </c>
      <c r="J37" s="49">
        <v>0</v>
      </c>
      <c r="K37" s="49">
        <v>0</v>
      </c>
      <c r="L37" s="49">
        <v>0</v>
      </c>
      <c r="M37" s="49">
        <v>0</v>
      </c>
      <c r="N37" s="59">
        <v>0</v>
      </c>
      <c r="O37" s="269">
        <v>0</v>
      </c>
    </row>
    <row r="38" spans="1:15" s="230" customFormat="1" ht="37.5">
      <c r="A38" s="487" t="s">
        <v>124</v>
      </c>
      <c r="B38" s="488" t="s">
        <v>579</v>
      </c>
      <c r="C38" s="45" t="s">
        <v>116</v>
      </c>
      <c r="D38" s="42"/>
      <c r="E38" s="48"/>
      <c r="F38" s="49">
        <f t="shared" si="15"/>
        <v>40201.043569999994</v>
      </c>
      <c r="G38" s="49">
        <f aca="true" t="shared" si="16" ref="G38:O38">G39+G40+G41+G42+G43+G44</f>
        <v>2073.169</v>
      </c>
      <c r="H38" s="49">
        <f t="shared" si="16"/>
        <v>1802.9</v>
      </c>
      <c r="I38" s="49">
        <f t="shared" si="16"/>
        <v>2175.569</v>
      </c>
      <c r="J38" s="49">
        <f t="shared" si="16"/>
        <v>0</v>
      </c>
      <c r="K38" s="49">
        <f t="shared" si="16"/>
        <v>2823.959</v>
      </c>
      <c r="L38" s="49">
        <f t="shared" si="16"/>
        <v>5460.6849999999995</v>
      </c>
      <c r="M38" s="49">
        <f t="shared" si="16"/>
        <v>24373.78789</v>
      </c>
      <c r="N38" s="49">
        <f>N39+N40+N41+N42+N43+N44</f>
        <v>764.73684</v>
      </c>
      <c r="O38" s="267">
        <f t="shared" si="16"/>
        <v>726.23684</v>
      </c>
    </row>
    <row r="39" spans="1:15" s="230" customFormat="1" ht="56.25">
      <c r="A39" s="487"/>
      <c r="B39" s="488"/>
      <c r="C39" s="45" t="s">
        <v>117</v>
      </c>
      <c r="D39" s="42"/>
      <c r="E39" s="48"/>
      <c r="F39" s="49">
        <f t="shared" si="15"/>
        <v>0</v>
      </c>
      <c r="G39" s="49">
        <f>'приложение 8'!D98</f>
        <v>0</v>
      </c>
      <c r="H39" s="49">
        <f>'приложение 8'!E98</f>
        <v>0</v>
      </c>
      <c r="I39" s="49">
        <f>'приложение 8'!F98</f>
        <v>0</v>
      </c>
      <c r="J39" s="49">
        <f>'приложение 8'!G98</f>
        <v>0</v>
      </c>
      <c r="K39" s="49">
        <v>0</v>
      </c>
      <c r="L39" s="49">
        <v>0</v>
      </c>
      <c r="M39" s="49">
        <v>0</v>
      </c>
      <c r="N39" s="59">
        <v>0</v>
      </c>
      <c r="O39" s="269">
        <v>0</v>
      </c>
    </row>
    <row r="40" spans="1:15" s="230" customFormat="1" ht="37.5">
      <c r="A40" s="487"/>
      <c r="B40" s="488"/>
      <c r="C40" s="45" t="s">
        <v>118</v>
      </c>
      <c r="D40" s="48" t="s">
        <v>109</v>
      </c>
      <c r="E40" s="48" t="s">
        <v>226</v>
      </c>
      <c r="F40" s="49">
        <f t="shared" si="15"/>
        <v>37495.15</v>
      </c>
      <c r="G40" s="49">
        <f>'приложение 8'!D99</f>
        <v>1445</v>
      </c>
      <c r="H40" s="49">
        <f>'приложение 8'!E99</f>
        <v>1445</v>
      </c>
      <c r="I40" s="49">
        <f>'приложение 8'!F99</f>
        <v>1540</v>
      </c>
      <c r="J40" s="49">
        <f>'приложение 8'!G99</f>
        <v>0</v>
      </c>
      <c r="K40" s="49">
        <f>2672.2</f>
        <v>2672.2</v>
      </c>
      <c r="L40" s="49">
        <f>5015.82+150</f>
        <v>5165.82</v>
      </c>
      <c r="M40" s="296">
        <f>24165.63</f>
        <v>24165.63</v>
      </c>
      <c r="N40" s="59">
        <f>550</f>
        <v>550</v>
      </c>
      <c r="O40" s="269">
        <f>511.5</f>
        <v>511.5</v>
      </c>
    </row>
    <row r="41" spans="1:15" s="230" customFormat="1" ht="56.25">
      <c r="A41" s="487"/>
      <c r="B41" s="488"/>
      <c r="C41" s="45" t="s">
        <v>119</v>
      </c>
      <c r="D41" s="48"/>
      <c r="E41" s="48"/>
      <c r="F41" s="49">
        <f t="shared" si="15"/>
        <v>2705.8935699999997</v>
      </c>
      <c r="G41" s="49">
        <f>'приложение 8'!D100</f>
        <v>628.169</v>
      </c>
      <c r="H41" s="49">
        <f>'приложение 8'!E100</f>
        <v>357.9</v>
      </c>
      <c r="I41" s="49">
        <f>'приложение 8'!F100</f>
        <v>635.569</v>
      </c>
      <c r="J41" s="49">
        <f>'приложение 8'!G100</f>
        <v>0</v>
      </c>
      <c r="K41" s="49">
        <v>151.759</v>
      </c>
      <c r="L41" s="49">
        <f>160.725+134.14</f>
        <v>294.865</v>
      </c>
      <c r="M41" s="49">
        <v>208.15789</v>
      </c>
      <c r="N41" s="49">
        <v>214.73684</v>
      </c>
      <c r="O41" s="267">
        <v>214.73684</v>
      </c>
    </row>
    <row r="42" spans="1:15" s="230" customFormat="1" ht="56.25">
      <c r="A42" s="487"/>
      <c r="B42" s="488"/>
      <c r="C42" s="45" t="s">
        <v>120</v>
      </c>
      <c r="D42" s="48"/>
      <c r="E42" s="48"/>
      <c r="F42" s="49">
        <f t="shared" si="15"/>
        <v>0</v>
      </c>
      <c r="G42" s="49">
        <f>'приложение 8'!D101</f>
        <v>0</v>
      </c>
      <c r="H42" s="49">
        <f>'приложение 8'!E101</f>
        <v>0</v>
      </c>
      <c r="I42" s="49">
        <f>'приложение 8'!F101</f>
        <v>0</v>
      </c>
      <c r="J42" s="49">
        <f>'приложение 8'!G101</f>
        <v>0</v>
      </c>
      <c r="K42" s="49">
        <v>0</v>
      </c>
      <c r="L42" s="49">
        <v>0</v>
      </c>
      <c r="M42" s="49">
        <v>0</v>
      </c>
      <c r="N42" s="59">
        <v>0</v>
      </c>
      <c r="O42" s="269">
        <v>0</v>
      </c>
    </row>
    <row r="43" spans="1:15" s="230" customFormat="1" ht="56.25">
      <c r="A43" s="487"/>
      <c r="B43" s="488"/>
      <c r="C43" s="45" t="s">
        <v>192</v>
      </c>
      <c r="D43" s="48"/>
      <c r="E43" s="48"/>
      <c r="F43" s="49">
        <f t="shared" si="15"/>
        <v>0</v>
      </c>
      <c r="G43" s="49">
        <f>'приложение 8'!D102</f>
        <v>0</v>
      </c>
      <c r="H43" s="49">
        <f>'приложение 8'!E102</f>
        <v>0</v>
      </c>
      <c r="I43" s="49">
        <f>'приложение 8'!F102</f>
        <v>0</v>
      </c>
      <c r="J43" s="49">
        <f>'приложение 8'!G102</f>
        <v>0</v>
      </c>
      <c r="K43" s="49">
        <v>0</v>
      </c>
      <c r="L43" s="49">
        <v>0</v>
      </c>
      <c r="M43" s="49">
        <v>0</v>
      </c>
      <c r="N43" s="59">
        <v>0</v>
      </c>
      <c r="O43" s="269">
        <v>0</v>
      </c>
    </row>
    <row r="44" spans="1:20" s="230" customFormat="1" ht="112.5">
      <c r="A44" s="487"/>
      <c r="B44" s="488"/>
      <c r="C44" s="45" t="s">
        <v>178</v>
      </c>
      <c r="D44" s="48"/>
      <c r="E44" s="48"/>
      <c r="F44" s="49">
        <f t="shared" si="15"/>
        <v>0</v>
      </c>
      <c r="G44" s="49">
        <v>0</v>
      </c>
      <c r="H44" s="49">
        <v>0</v>
      </c>
      <c r="I44" s="49">
        <v>0</v>
      </c>
      <c r="J44" s="49">
        <v>0</v>
      </c>
      <c r="K44" s="49">
        <v>0</v>
      </c>
      <c r="L44" s="49">
        <v>0</v>
      </c>
      <c r="M44" s="49">
        <v>0</v>
      </c>
      <c r="N44" s="59">
        <v>0</v>
      </c>
      <c r="O44" s="269">
        <v>0</v>
      </c>
      <c r="Q44" s="231"/>
      <c r="R44" s="231"/>
      <c r="S44" s="231"/>
      <c r="T44" s="231"/>
    </row>
    <row r="45" spans="1:15" s="230" customFormat="1" ht="37.5">
      <c r="A45" s="487" t="s">
        <v>528</v>
      </c>
      <c r="B45" s="488" t="s">
        <v>650</v>
      </c>
      <c r="C45" s="45" t="s">
        <v>116</v>
      </c>
      <c r="D45" s="42"/>
      <c r="E45" s="48"/>
      <c r="F45" s="49">
        <f t="shared" si="15"/>
        <v>0</v>
      </c>
      <c r="G45" s="49">
        <f aca="true" t="shared" si="17" ref="G45:M45">G46+G47+G48+G49+G50+G51</f>
        <v>0</v>
      </c>
      <c r="H45" s="49">
        <f t="shared" si="17"/>
        <v>0</v>
      </c>
      <c r="I45" s="49">
        <f t="shared" si="17"/>
        <v>0</v>
      </c>
      <c r="J45" s="49">
        <f t="shared" si="17"/>
        <v>0</v>
      </c>
      <c r="K45" s="49">
        <f t="shared" si="17"/>
        <v>0</v>
      </c>
      <c r="L45" s="49">
        <f t="shared" si="17"/>
        <v>0</v>
      </c>
      <c r="M45" s="49">
        <f t="shared" si="17"/>
        <v>0</v>
      </c>
      <c r="N45" s="59">
        <v>0</v>
      </c>
      <c r="O45" s="269">
        <v>0</v>
      </c>
    </row>
    <row r="46" spans="1:15" s="230" customFormat="1" ht="56.25">
      <c r="A46" s="487"/>
      <c r="B46" s="488"/>
      <c r="C46" s="45" t="s">
        <v>117</v>
      </c>
      <c r="D46" s="42"/>
      <c r="E46" s="48"/>
      <c r="F46" s="49">
        <f t="shared" si="15"/>
        <v>0</v>
      </c>
      <c r="G46" s="49">
        <v>0</v>
      </c>
      <c r="H46" s="49">
        <v>0</v>
      </c>
      <c r="I46" s="49">
        <v>0</v>
      </c>
      <c r="J46" s="49">
        <v>0</v>
      </c>
      <c r="K46" s="49">
        <v>0</v>
      </c>
      <c r="L46" s="49">
        <v>0</v>
      </c>
      <c r="M46" s="49">
        <v>0</v>
      </c>
      <c r="N46" s="59">
        <v>0</v>
      </c>
      <c r="O46" s="269">
        <v>0</v>
      </c>
    </row>
    <row r="47" spans="1:15" s="230" customFormat="1" ht="37.5">
      <c r="A47" s="487"/>
      <c r="B47" s="488"/>
      <c r="C47" s="45" t="s">
        <v>118</v>
      </c>
      <c r="D47" s="48" t="s">
        <v>109</v>
      </c>
      <c r="E47" s="48" t="s">
        <v>226</v>
      </c>
      <c r="F47" s="49">
        <f t="shared" si="15"/>
        <v>0</v>
      </c>
      <c r="G47" s="49">
        <v>0</v>
      </c>
      <c r="H47" s="49">
        <v>0</v>
      </c>
      <c r="I47" s="49">
        <v>0</v>
      </c>
      <c r="J47" s="49">
        <v>0</v>
      </c>
      <c r="K47" s="49">
        <v>0</v>
      </c>
      <c r="L47" s="49">
        <v>0</v>
      </c>
      <c r="M47" s="49">
        <v>0</v>
      </c>
      <c r="N47" s="59">
        <v>0</v>
      </c>
      <c r="O47" s="269">
        <v>0</v>
      </c>
    </row>
    <row r="48" spans="1:15" s="230" customFormat="1" ht="56.25">
      <c r="A48" s="487"/>
      <c r="B48" s="488"/>
      <c r="C48" s="45" t="s">
        <v>119</v>
      </c>
      <c r="D48" s="48"/>
      <c r="E48" s="48"/>
      <c r="F48" s="49">
        <f t="shared" si="15"/>
        <v>0</v>
      </c>
      <c r="G48" s="49">
        <v>0</v>
      </c>
      <c r="H48" s="49">
        <v>0</v>
      </c>
      <c r="I48" s="49">
        <v>0</v>
      </c>
      <c r="J48" s="49">
        <v>0</v>
      </c>
      <c r="K48" s="49">
        <v>0</v>
      </c>
      <c r="L48" s="49">
        <v>0</v>
      </c>
      <c r="M48" s="49">
        <v>0</v>
      </c>
      <c r="N48" s="59">
        <v>0</v>
      </c>
      <c r="O48" s="269">
        <v>0</v>
      </c>
    </row>
    <row r="49" spans="1:15" s="230" customFormat="1" ht="56.25">
      <c r="A49" s="487"/>
      <c r="B49" s="488"/>
      <c r="C49" s="45" t="s">
        <v>120</v>
      </c>
      <c r="D49" s="48"/>
      <c r="E49" s="48"/>
      <c r="F49" s="49">
        <f t="shared" si="15"/>
        <v>0</v>
      </c>
      <c r="G49" s="49">
        <v>0</v>
      </c>
      <c r="H49" s="49">
        <v>0</v>
      </c>
      <c r="I49" s="49">
        <v>0</v>
      </c>
      <c r="J49" s="49">
        <v>0</v>
      </c>
      <c r="K49" s="49">
        <v>0</v>
      </c>
      <c r="L49" s="49">
        <v>0</v>
      </c>
      <c r="M49" s="49">
        <v>0</v>
      </c>
      <c r="N49" s="59">
        <v>0</v>
      </c>
      <c r="O49" s="269">
        <v>0</v>
      </c>
    </row>
    <row r="50" spans="1:15" s="230" customFormat="1" ht="56.25">
      <c r="A50" s="487"/>
      <c r="B50" s="488"/>
      <c r="C50" s="45" t="s">
        <v>192</v>
      </c>
      <c r="D50" s="48"/>
      <c r="E50" s="48"/>
      <c r="F50" s="49">
        <f t="shared" si="15"/>
        <v>0</v>
      </c>
      <c r="G50" s="49">
        <v>0</v>
      </c>
      <c r="H50" s="49">
        <v>0</v>
      </c>
      <c r="I50" s="49">
        <v>0</v>
      </c>
      <c r="J50" s="49">
        <v>0</v>
      </c>
      <c r="K50" s="49">
        <v>0</v>
      </c>
      <c r="L50" s="49">
        <v>0</v>
      </c>
      <c r="M50" s="49">
        <v>0</v>
      </c>
      <c r="N50" s="59">
        <v>0</v>
      </c>
      <c r="O50" s="269">
        <v>0</v>
      </c>
    </row>
    <row r="51" spans="1:20" s="230" customFormat="1" ht="112.5">
      <c r="A51" s="487"/>
      <c r="B51" s="488"/>
      <c r="C51" s="45" t="s">
        <v>178</v>
      </c>
      <c r="D51" s="48"/>
      <c r="E51" s="48"/>
      <c r="F51" s="49">
        <f t="shared" si="15"/>
        <v>0</v>
      </c>
      <c r="G51" s="49">
        <v>0</v>
      </c>
      <c r="H51" s="49">
        <v>0</v>
      </c>
      <c r="I51" s="49">
        <v>0</v>
      </c>
      <c r="J51" s="49">
        <v>0</v>
      </c>
      <c r="K51" s="49">
        <v>0</v>
      </c>
      <c r="L51" s="49">
        <v>0</v>
      </c>
      <c r="M51" s="49">
        <v>0</v>
      </c>
      <c r="N51" s="59">
        <v>0</v>
      </c>
      <c r="O51" s="269">
        <v>0</v>
      </c>
      <c r="Q51" s="231"/>
      <c r="R51" s="231"/>
      <c r="S51" s="231"/>
      <c r="T51" s="231"/>
    </row>
    <row r="52" spans="1:15" s="230" customFormat="1" ht="37.5">
      <c r="A52" s="487" t="s">
        <v>529</v>
      </c>
      <c r="B52" s="488" t="s">
        <v>580</v>
      </c>
      <c r="C52" s="45" t="s">
        <v>116</v>
      </c>
      <c r="D52" s="42"/>
      <c r="E52" s="48"/>
      <c r="F52" s="49">
        <f t="shared" si="15"/>
        <v>2742.08204</v>
      </c>
      <c r="G52" s="49">
        <f aca="true" t="shared" si="18" ref="G52:M52">G53+G54+G55+G56+G57+G58</f>
        <v>0</v>
      </c>
      <c r="H52" s="49">
        <f t="shared" si="18"/>
        <v>0</v>
      </c>
      <c r="I52" s="49">
        <f t="shared" si="18"/>
        <v>0</v>
      </c>
      <c r="J52" s="49">
        <f t="shared" si="18"/>
        <v>0</v>
      </c>
      <c r="K52" s="49">
        <f t="shared" si="18"/>
        <v>0</v>
      </c>
      <c r="L52" s="49">
        <f t="shared" si="18"/>
        <v>2742.08204</v>
      </c>
      <c r="M52" s="49">
        <f t="shared" si="18"/>
        <v>0</v>
      </c>
      <c r="N52" s="59">
        <v>0</v>
      </c>
      <c r="O52" s="269">
        <v>0</v>
      </c>
    </row>
    <row r="53" spans="1:15" s="230" customFormat="1" ht="56.25">
      <c r="A53" s="487"/>
      <c r="B53" s="488"/>
      <c r="C53" s="45" t="s">
        <v>117</v>
      </c>
      <c r="D53" s="42"/>
      <c r="E53" s="48"/>
      <c r="F53" s="49">
        <f t="shared" si="15"/>
        <v>0</v>
      </c>
      <c r="G53" s="49">
        <v>0</v>
      </c>
      <c r="H53" s="49">
        <v>0</v>
      </c>
      <c r="I53" s="49">
        <v>0</v>
      </c>
      <c r="J53" s="49">
        <v>0</v>
      </c>
      <c r="K53" s="49">
        <v>0</v>
      </c>
      <c r="L53" s="49">
        <v>0</v>
      </c>
      <c r="M53" s="49">
        <v>0</v>
      </c>
      <c r="N53" s="59">
        <v>0</v>
      </c>
      <c r="O53" s="269">
        <v>0</v>
      </c>
    </row>
    <row r="54" spans="1:15" s="230" customFormat="1" ht="37.5">
      <c r="A54" s="487"/>
      <c r="B54" s="488"/>
      <c r="C54" s="45" t="s">
        <v>118</v>
      </c>
      <c r="D54" s="48" t="s">
        <v>109</v>
      </c>
      <c r="E54" s="48" t="s">
        <v>226</v>
      </c>
      <c r="F54" s="49">
        <f t="shared" si="15"/>
        <v>2742.08204</v>
      </c>
      <c r="G54" s="49">
        <v>0</v>
      </c>
      <c r="H54" s="49">
        <v>0</v>
      </c>
      <c r="I54" s="49">
        <v>0</v>
      </c>
      <c r="J54" s="49">
        <v>0</v>
      </c>
      <c r="K54" s="49">
        <v>0</v>
      </c>
      <c r="L54" s="49">
        <f>2742.08204</f>
        <v>2742.08204</v>
      </c>
      <c r="M54" s="49">
        <v>0</v>
      </c>
      <c r="N54" s="59">
        <v>0</v>
      </c>
      <c r="O54" s="269">
        <v>0</v>
      </c>
    </row>
    <row r="55" spans="1:15" s="230" customFormat="1" ht="56.25">
      <c r="A55" s="487"/>
      <c r="B55" s="488"/>
      <c r="C55" s="45" t="s">
        <v>119</v>
      </c>
      <c r="D55" s="48"/>
      <c r="E55" s="48"/>
      <c r="F55" s="49">
        <f t="shared" si="15"/>
        <v>0</v>
      </c>
      <c r="G55" s="49">
        <v>0</v>
      </c>
      <c r="H55" s="49">
        <v>0</v>
      </c>
      <c r="I55" s="49">
        <v>0</v>
      </c>
      <c r="J55" s="49">
        <v>0</v>
      </c>
      <c r="K55" s="49">
        <v>0</v>
      </c>
      <c r="L55" s="49">
        <v>0</v>
      </c>
      <c r="M55" s="49">
        <v>0</v>
      </c>
      <c r="N55" s="59">
        <v>0</v>
      </c>
      <c r="O55" s="269">
        <v>0</v>
      </c>
    </row>
    <row r="56" spans="1:15" s="230" customFormat="1" ht="56.25">
      <c r="A56" s="487"/>
      <c r="B56" s="488"/>
      <c r="C56" s="45" t="s">
        <v>120</v>
      </c>
      <c r="D56" s="48"/>
      <c r="E56" s="48"/>
      <c r="F56" s="49">
        <f t="shared" si="15"/>
        <v>0</v>
      </c>
      <c r="G56" s="49">
        <v>0</v>
      </c>
      <c r="H56" s="49">
        <v>0</v>
      </c>
      <c r="I56" s="49">
        <v>0</v>
      </c>
      <c r="J56" s="49">
        <v>0</v>
      </c>
      <c r="K56" s="49">
        <v>0</v>
      </c>
      <c r="L56" s="49">
        <v>0</v>
      </c>
      <c r="M56" s="49">
        <v>0</v>
      </c>
      <c r="N56" s="59">
        <v>0</v>
      </c>
      <c r="O56" s="269">
        <v>0</v>
      </c>
    </row>
    <row r="57" spans="1:15" s="230" customFormat="1" ht="56.25">
      <c r="A57" s="487"/>
      <c r="B57" s="488"/>
      <c r="C57" s="45" t="s">
        <v>192</v>
      </c>
      <c r="D57" s="48"/>
      <c r="E57" s="48"/>
      <c r="F57" s="49">
        <f t="shared" si="15"/>
        <v>0</v>
      </c>
      <c r="G57" s="49">
        <v>0</v>
      </c>
      <c r="H57" s="49">
        <v>0</v>
      </c>
      <c r="I57" s="49">
        <v>0</v>
      </c>
      <c r="J57" s="49">
        <v>0</v>
      </c>
      <c r="K57" s="49">
        <v>0</v>
      </c>
      <c r="L57" s="49">
        <v>0</v>
      </c>
      <c r="M57" s="49">
        <v>0</v>
      </c>
      <c r="N57" s="59">
        <v>0</v>
      </c>
      <c r="O57" s="269">
        <v>0</v>
      </c>
    </row>
    <row r="58" spans="1:20" s="230" customFormat="1" ht="112.5">
      <c r="A58" s="487"/>
      <c r="B58" s="488"/>
      <c r="C58" s="45" t="s">
        <v>178</v>
      </c>
      <c r="D58" s="48"/>
      <c r="E58" s="48"/>
      <c r="F58" s="49">
        <f t="shared" si="15"/>
        <v>0</v>
      </c>
      <c r="G58" s="49">
        <v>0</v>
      </c>
      <c r="H58" s="49">
        <v>0</v>
      </c>
      <c r="I58" s="49">
        <v>0</v>
      </c>
      <c r="J58" s="49">
        <v>0</v>
      </c>
      <c r="K58" s="49">
        <v>0</v>
      </c>
      <c r="L58" s="49">
        <v>0</v>
      </c>
      <c r="M58" s="49">
        <v>0</v>
      </c>
      <c r="N58" s="59">
        <v>0</v>
      </c>
      <c r="O58" s="269">
        <v>0</v>
      </c>
      <c r="Q58" s="231"/>
      <c r="R58" s="231"/>
      <c r="S58" s="231"/>
      <c r="T58" s="231"/>
    </row>
    <row r="59" spans="1:15" s="230" customFormat="1" ht="37.5" customHeight="1">
      <c r="A59" s="487" t="s">
        <v>530</v>
      </c>
      <c r="B59" s="488" t="s">
        <v>659</v>
      </c>
      <c r="C59" s="45" t="s">
        <v>116</v>
      </c>
      <c r="D59" s="42"/>
      <c r="E59" s="48"/>
      <c r="F59" s="49">
        <f t="shared" si="15"/>
        <v>31146.413620000003</v>
      </c>
      <c r="G59" s="49">
        <f aca="true" t="shared" si="19" ref="G59:O59">G66</f>
        <v>0</v>
      </c>
      <c r="H59" s="49">
        <f t="shared" si="19"/>
        <v>0</v>
      </c>
      <c r="I59" s="49">
        <f t="shared" si="19"/>
        <v>0</v>
      </c>
      <c r="J59" s="49">
        <f t="shared" si="19"/>
        <v>0</v>
      </c>
      <c r="K59" s="49">
        <f t="shared" si="19"/>
        <v>0</v>
      </c>
      <c r="L59" s="49">
        <f t="shared" si="19"/>
        <v>14145.189260000001</v>
      </c>
      <c r="M59" s="49">
        <f t="shared" si="19"/>
        <v>7432.608909999999</v>
      </c>
      <c r="N59" s="49">
        <f t="shared" si="19"/>
        <v>4784.30772</v>
      </c>
      <c r="O59" s="268">
        <f t="shared" si="19"/>
        <v>4784.30773</v>
      </c>
    </row>
    <row r="60" spans="1:15" s="230" customFormat="1" ht="56.25">
      <c r="A60" s="487"/>
      <c r="B60" s="488"/>
      <c r="C60" s="45" t="s">
        <v>117</v>
      </c>
      <c r="D60" s="42"/>
      <c r="E60" s="48"/>
      <c r="F60" s="49">
        <f t="shared" si="15"/>
        <v>30526.6</v>
      </c>
      <c r="G60" s="49">
        <f aca="true" t="shared" si="20" ref="G60:L60">G67</f>
        <v>0</v>
      </c>
      <c r="H60" s="49">
        <f t="shared" si="20"/>
        <v>0</v>
      </c>
      <c r="I60" s="49">
        <f t="shared" si="20"/>
        <v>0</v>
      </c>
      <c r="J60" s="49">
        <f t="shared" si="20"/>
        <v>0</v>
      </c>
      <c r="K60" s="49">
        <f t="shared" si="20"/>
        <v>0</v>
      </c>
      <c r="L60" s="49">
        <f t="shared" si="20"/>
        <v>13863.7</v>
      </c>
      <c r="M60" s="49">
        <f aca="true" t="shared" si="21" ref="M60:O65">M67</f>
        <v>7284.7</v>
      </c>
      <c r="N60" s="49">
        <f t="shared" si="21"/>
        <v>4689.1</v>
      </c>
      <c r="O60" s="268">
        <f t="shared" si="21"/>
        <v>4689.1</v>
      </c>
    </row>
    <row r="61" spans="1:15" s="230" customFormat="1" ht="37.5">
      <c r="A61" s="487"/>
      <c r="B61" s="488"/>
      <c r="C61" s="45" t="s">
        <v>118</v>
      </c>
      <c r="D61" s="48" t="s">
        <v>109</v>
      </c>
      <c r="E61" s="48" t="s">
        <v>226</v>
      </c>
      <c r="F61" s="49">
        <f t="shared" si="15"/>
        <v>308.34948</v>
      </c>
      <c r="G61" s="49">
        <f aca="true" t="shared" si="22" ref="G61:L61">G68</f>
        <v>0</v>
      </c>
      <c r="H61" s="49">
        <f t="shared" si="22"/>
        <v>0</v>
      </c>
      <c r="I61" s="49">
        <f t="shared" si="22"/>
        <v>0</v>
      </c>
      <c r="J61" s="49">
        <f t="shared" si="22"/>
        <v>0</v>
      </c>
      <c r="K61" s="49">
        <f t="shared" si="22"/>
        <v>0</v>
      </c>
      <c r="L61" s="49">
        <f t="shared" si="22"/>
        <v>140.03737</v>
      </c>
      <c r="M61" s="49">
        <f t="shared" si="21"/>
        <v>73.58282</v>
      </c>
      <c r="N61" s="49">
        <f t="shared" si="21"/>
        <v>47.36464</v>
      </c>
      <c r="O61" s="268">
        <f t="shared" si="21"/>
        <v>47.36465</v>
      </c>
    </row>
    <row r="62" spans="1:15" s="230" customFormat="1" ht="56.25">
      <c r="A62" s="487"/>
      <c r="B62" s="488"/>
      <c r="C62" s="45" t="s">
        <v>119</v>
      </c>
      <c r="D62" s="48"/>
      <c r="E62" s="48"/>
      <c r="F62" s="49">
        <f t="shared" si="15"/>
        <v>311.46414</v>
      </c>
      <c r="G62" s="49">
        <f aca="true" t="shared" si="23" ref="G62:L62">G69</f>
        <v>0</v>
      </c>
      <c r="H62" s="49">
        <f t="shared" si="23"/>
        <v>0</v>
      </c>
      <c r="I62" s="49">
        <f t="shared" si="23"/>
        <v>0</v>
      </c>
      <c r="J62" s="49">
        <f t="shared" si="23"/>
        <v>0</v>
      </c>
      <c r="K62" s="49">
        <f t="shared" si="23"/>
        <v>0</v>
      </c>
      <c r="L62" s="49">
        <f t="shared" si="23"/>
        <v>141.45189</v>
      </c>
      <c r="M62" s="49">
        <f t="shared" si="21"/>
        <v>74.32609</v>
      </c>
      <c r="N62" s="49">
        <f t="shared" si="21"/>
        <v>47.84308</v>
      </c>
      <c r="O62" s="268">
        <f t="shared" si="21"/>
        <v>47.84308</v>
      </c>
    </row>
    <row r="63" spans="1:15" s="230" customFormat="1" ht="56.25">
      <c r="A63" s="487"/>
      <c r="B63" s="488"/>
      <c r="C63" s="45" t="s">
        <v>120</v>
      </c>
      <c r="D63" s="48"/>
      <c r="E63" s="48"/>
      <c r="F63" s="49">
        <f t="shared" si="15"/>
        <v>0</v>
      </c>
      <c r="G63" s="49">
        <f aca="true" t="shared" si="24" ref="G63:L63">G70</f>
        <v>0</v>
      </c>
      <c r="H63" s="49">
        <f t="shared" si="24"/>
        <v>0</v>
      </c>
      <c r="I63" s="49">
        <f t="shared" si="24"/>
        <v>0</v>
      </c>
      <c r="J63" s="49">
        <f t="shared" si="24"/>
        <v>0</v>
      </c>
      <c r="K63" s="49">
        <f t="shared" si="24"/>
        <v>0</v>
      </c>
      <c r="L63" s="49">
        <f t="shared" si="24"/>
        <v>0</v>
      </c>
      <c r="M63" s="49">
        <f t="shared" si="21"/>
        <v>0</v>
      </c>
      <c r="N63" s="49">
        <f t="shared" si="21"/>
        <v>0</v>
      </c>
      <c r="O63" s="268">
        <f t="shared" si="21"/>
        <v>0</v>
      </c>
    </row>
    <row r="64" spans="1:15" s="230" customFormat="1" ht="56.25">
      <c r="A64" s="487"/>
      <c r="B64" s="488"/>
      <c r="C64" s="45" t="s">
        <v>192</v>
      </c>
      <c r="D64" s="48"/>
      <c r="E64" s="48"/>
      <c r="F64" s="49">
        <f t="shared" si="15"/>
        <v>0</v>
      </c>
      <c r="G64" s="49">
        <f aca="true" t="shared" si="25" ref="G64:L64">G71</f>
        <v>0</v>
      </c>
      <c r="H64" s="49">
        <f t="shared" si="25"/>
        <v>0</v>
      </c>
      <c r="I64" s="49">
        <f t="shared" si="25"/>
        <v>0</v>
      </c>
      <c r="J64" s="49">
        <f t="shared" si="25"/>
        <v>0</v>
      </c>
      <c r="K64" s="49">
        <f t="shared" si="25"/>
        <v>0</v>
      </c>
      <c r="L64" s="49">
        <f t="shared" si="25"/>
        <v>0</v>
      </c>
      <c r="M64" s="49">
        <f t="shared" si="21"/>
        <v>0</v>
      </c>
      <c r="N64" s="49">
        <f t="shared" si="21"/>
        <v>0</v>
      </c>
      <c r="O64" s="268">
        <f t="shared" si="21"/>
        <v>0</v>
      </c>
    </row>
    <row r="65" spans="1:20" s="230" customFormat="1" ht="112.5">
      <c r="A65" s="487"/>
      <c r="B65" s="488"/>
      <c r="C65" s="45" t="s">
        <v>178</v>
      </c>
      <c r="D65" s="48"/>
      <c r="E65" s="48"/>
      <c r="F65" s="49">
        <f t="shared" si="15"/>
        <v>0</v>
      </c>
      <c r="G65" s="49">
        <f aca="true" t="shared" si="26" ref="G65:L65">G72</f>
        <v>0</v>
      </c>
      <c r="H65" s="49">
        <f t="shared" si="26"/>
        <v>0</v>
      </c>
      <c r="I65" s="49">
        <f t="shared" si="26"/>
        <v>0</v>
      </c>
      <c r="J65" s="49">
        <f t="shared" si="26"/>
        <v>0</v>
      </c>
      <c r="K65" s="49">
        <f t="shared" si="26"/>
        <v>0</v>
      </c>
      <c r="L65" s="49">
        <f t="shared" si="26"/>
        <v>0</v>
      </c>
      <c r="M65" s="49">
        <f t="shared" si="21"/>
        <v>0</v>
      </c>
      <c r="N65" s="49">
        <f t="shared" si="21"/>
        <v>0</v>
      </c>
      <c r="O65" s="268">
        <f t="shared" si="21"/>
        <v>0</v>
      </c>
      <c r="Q65" s="231"/>
      <c r="R65" s="231"/>
      <c r="S65" s="231"/>
      <c r="T65" s="231"/>
    </row>
    <row r="66" spans="1:20" s="230" customFormat="1" ht="37.5">
      <c r="A66" s="509" t="s">
        <v>588</v>
      </c>
      <c r="B66" s="488" t="s">
        <v>603</v>
      </c>
      <c r="C66" s="45" t="s">
        <v>116</v>
      </c>
      <c r="D66" s="48"/>
      <c r="E66" s="48"/>
      <c r="F66" s="49">
        <f t="shared" si="15"/>
        <v>31146.413620000003</v>
      </c>
      <c r="G66" s="49">
        <f>SUM(G67:G72)</f>
        <v>0</v>
      </c>
      <c r="H66" s="49">
        <f aca="true" t="shared" si="27" ref="H66:O66">SUM(H67:H72)</f>
        <v>0</v>
      </c>
      <c r="I66" s="49">
        <f t="shared" si="27"/>
        <v>0</v>
      </c>
      <c r="J66" s="49">
        <f t="shared" si="27"/>
        <v>0</v>
      </c>
      <c r="K66" s="49">
        <f t="shared" si="27"/>
        <v>0</v>
      </c>
      <c r="L66" s="49">
        <f t="shared" si="27"/>
        <v>14145.189260000001</v>
      </c>
      <c r="M66" s="49">
        <f t="shared" si="27"/>
        <v>7432.608909999999</v>
      </c>
      <c r="N66" s="49">
        <f>SUM(N67:N72)</f>
        <v>4784.30772</v>
      </c>
      <c r="O66" s="268">
        <f t="shared" si="27"/>
        <v>4784.30773</v>
      </c>
      <c r="Q66" s="231"/>
      <c r="R66" s="231"/>
      <c r="S66" s="231"/>
      <c r="T66" s="231"/>
    </row>
    <row r="67" spans="1:20" s="230" customFormat="1" ht="56.25">
      <c r="A67" s="509"/>
      <c r="B67" s="488"/>
      <c r="C67" s="45" t="s">
        <v>117</v>
      </c>
      <c r="D67" s="48"/>
      <c r="E67" s="48"/>
      <c r="F67" s="49">
        <f t="shared" si="15"/>
        <v>30526.6</v>
      </c>
      <c r="G67" s="49">
        <v>0</v>
      </c>
      <c r="H67" s="49">
        <v>0</v>
      </c>
      <c r="I67" s="49">
        <v>0</v>
      </c>
      <c r="J67" s="49">
        <v>0</v>
      </c>
      <c r="K67" s="49">
        <v>0</v>
      </c>
      <c r="L67" s="49">
        <v>13863.7</v>
      </c>
      <c r="M67" s="85">
        <v>7284.7</v>
      </c>
      <c r="N67" s="59">
        <v>4689.1</v>
      </c>
      <c r="O67" s="269">
        <v>4689.1</v>
      </c>
      <c r="Q67" s="231"/>
      <c r="R67" s="231"/>
      <c r="S67" s="231"/>
      <c r="T67" s="231"/>
    </row>
    <row r="68" spans="1:20" s="230" customFormat="1" ht="37.5">
      <c r="A68" s="509"/>
      <c r="B68" s="488"/>
      <c r="C68" s="45" t="s">
        <v>118</v>
      </c>
      <c r="D68" s="48"/>
      <c r="E68" s="48"/>
      <c r="F68" s="49">
        <f t="shared" si="15"/>
        <v>308.34948</v>
      </c>
      <c r="G68" s="49">
        <v>0</v>
      </c>
      <c r="H68" s="49">
        <v>0</v>
      </c>
      <c r="I68" s="49">
        <v>0</v>
      </c>
      <c r="J68" s="49">
        <v>0</v>
      </c>
      <c r="K68" s="49">
        <v>0</v>
      </c>
      <c r="L68" s="49">
        <v>140.03737</v>
      </c>
      <c r="M68" s="85">
        <v>73.58282</v>
      </c>
      <c r="N68" s="59">
        <v>47.36464</v>
      </c>
      <c r="O68" s="269">
        <v>47.36465</v>
      </c>
      <c r="Q68" s="231"/>
      <c r="R68" s="231"/>
      <c r="S68" s="231"/>
      <c r="T68" s="231"/>
    </row>
    <row r="69" spans="1:20" s="230" customFormat="1" ht="56.25">
      <c r="A69" s="509"/>
      <c r="B69" s="488"/>
      <c r="C69" s="45" t="s">
        <v>119</v>
      </c>
      <c r="D69" s="48"/>
      <c r="E69" s="48"/>
      <c r="F69" s="49">
        <f t="shared" si="15"/>
        <v>311.46414</v>
      </c>
      <c r="G69" s="49">
        <v>0</v>
      </c>
      <c r="H69" s="49">
        <v>0</v>
      </c>
      <c r="I69" s="49">
        <v>0</v>
      </c>
      <c r="J69" s="49">
        <v>0</v>
      </c>
      <c r="K69" s="49">
        <v>0</v>
      </c>
      <c r="L69" s="49">
        <v>141.45189</v>
      </c>
      <c r="M69" s="49">
        <v>74.32609</v>
      </c>
      <c r="N69" s="59">
        <v>47.84308</v>
      </c>
      <c r="O69" s="269">
        <v>47.84308</v>
      </c>
      <c r="Q69" s="231"/>
      <c r="R69" s="231"/>
      <c r="S69" s="231"/>
      <c r="T69" s="231"/>
    </row>
    <row r="70" spans="1:20" s="230" customFormat="1" ht="56.25">
      <c r="A70" s="509"/>
      <c r="B70" s="488"/>
      <c r="C70" s="45" t="s">
        <v>120</v>
      </c>
      <c r="D70" s="48"/>
      <c r="E70" s="48"/>
      <c r="F70" s="49">
        <f t="shared" si="15"/>
        <v>0</v>
      </c>
      <c r="G70" s="49">
        <v>0</v>
      </c>
      <c r="H70" s="49">
        <v>0</v>
      </c>
      <c r="I70" s="49">
        <v>0</v>
      </c>
      <c r="J70" s="49">
        <v>0</v>
      </c>
      <c r="K70" s="49">
        <v>0</v>
      </c>
      <c r="L70" s="49">
        <v>0</v>
      </c>
      <c r="M70" s="49">
        <v>0</v>
      </c>
      <c r="N70" s="59">
        <v>0</v>
      </c>
      <c r="O70" s="269">
        <v>0</v>
      </c>
      <c r="Q70" s="231"/>
      <c r="R70" s="231"/>
      <c r="S70" s="231"/>
      <c r="T70" s="231"/>
    </row>
    <row r="71" spans="1:20" s="230" customFormat="1" ht="56.25">
      <c r="A71" s="509"/>
      <c r="B71" s="488"/>
      <c r="C71" s="45" t="s">
        <v>192</v>
      </c>
      <c r="D71" s="48"/>
      <c r="E71" s="48"/>
      <c r="F71" s="49">
        <f t="shared" si="15"/>
        <v>0</v>
      </c>
      <c r="G71" s="49">
        <v>0</v>
      </c>
      <c r="H71" s="49">
        <v>0</v>
      </c>
      <c r="I71" s="49">
        <v>0</v>
      </c>
      <c r="J71" s="49">
        <v>0</v>
      </c>
      <c r="K71" s="49">
        <v>0</v>
      </c>
      <c r="L71" s="49">
        <v>0</v>
      </c>
      <c r="M71" s="49">
        <v>0</v>
      </c>
      <c r="N71" s="59">
        <v>0</v>
      </c>
      <c r="O71" s="269">
        <v>0</v>
      </c>
      <c r="Q71" s="231"/>
      <c r="R71" s="231"/>
      <c r="S71" s="231"/>
      <c r="T71" s="231"/>
    </row>
    <row r="72" spans="1:20" s="230" customFormat="1" ht="112.5">
      <c r="A72" s="509"/>
      <c r="B72" s="488"/>
      <c r="C72" s="45" t="s">
        <v>178</v>
      </c>
      <c r="D72" s="48"/>
      <c r="E72" s="48"/>
      <c r="F72" s="49">
        <f t="shared" si="15"/>
        <v>0</v>
      </c>
      <c r="G72" s="49">
        <v>0</v>
      </c>
      <c r="H72" s="49">
        <v>0</v>
      </c>
      <c r="I72" s="49">
        <v>0</v>
      </c>
      <c r="J72" s="49">
        <v>0</v>
      </c>
      <c r="K72" s="49">
        <v>0</v>
      </c>
      <c r="L72" s="49">
        <v>0</v>
      </c>
      <c r="M72" s="49">
        <v>0</v>
      </c>
      <c r="N72" s="59">
        <v>0</v>
      </c>
      <c r="O72" s="269">
        <v>0</v>
      </c>
      <c r="Q72" s="231"/>
      <c r="R72" s="231"/>
      <c r="S72" s="231"/>
      <c r="T72" s="231"/>
    </row>
    <row r="73" spans="1:20" s="230" customFormat="1" ht="37.5">
      <c r="A73" s="492" t="s">
        <v>60</v>
      </c>
      <c r="B73" s="496" t="s">
        <v>61</v>
      </c>
      <c r="C73" s="45" t="s">
        <v>116</v>
      </c>
      <c r="D73" s="42"/>
      <c r="E73" s="48"/>
      <c r="F73" s="49">
        <f t="shared" si="15"/>
        <v>8340407.769450909</v>
      </c>
      <c r="G73" s="49">
        <f aca="true" t="shared" si="28" ref="G73:L73">G74+G75+G76+G77+G78+G79</f>
        <v>711509.63934</v>
      </c>
      <c r="H73" s="49">
        <f t="shared" si="28"/>
        <v>700701.3494799999</v>
      </c>
      <c r="I73" s="49">
        <f t="shared" si="28"/>
        <v>831217.9002500001</v>
      </c>
      <c r="J73" s="49">
        <f t="shared" si="28"/>
        <v>980947.08505</v>
      </c>
      <c r="K73" s="49">
        <f t="shared" si="28"/>
        <v>1127481.54817</v>
      </c>
      <c r="L73" s="49">
        <f t="shared" si="28"/>
        <v>1052222.819780909</v>
      </c>
      <c r="M73" s="49">
        <f>M74+M75+M76+M77+M78+M79</f>
        <v>989584.94001</v>
      </c>
      <c r="N73" s="49">
        <f>N74+N75+N76+N77+N78+N79</f>
        <v>960723.0694800002</v>
      </c>
      <c r="O73" s="267">
        <f>O74+O75+O76+O77+O78+O79</f>
        <v>986019.41789</v>
      </c>
      <c r="Q73" s="252"/>
      <c r="R73" s="252"/>
      <c r="S73" s="252"/>
      <c r="T73" s="231"/>
    </row>
    <row r="74" spans="1:20" s="230" customFormat="1" ht="56.25">
      <c r="A74" s="492"/>
      <c r="B74" s="496"/>
      <c r="C74" s="45" t="s">
        <v>117</v>
      </c>
      <c r="D74" s="42"/>
      <c r="E74" s="48"/>
      <c r="F74" s="49">
        <f t="shared" si="15"/>
        <v>219963.446</v>
      </c>
      <c r="G74" s="49">
        <f>G81+G91+G100+G107</f>
        <v>15892.484</v>
      </c>
      <c r="H74" s="49">
        <f aca="true" t="shared" si="29" ref="H74:K75">H81+H91+H100+H107</f>
        <v>7115.062</v>
      </c>
      <c r="I74" s="49">
        <f t="shared" si="29"/>
        <v>6508.5</v>
      </c>
      <c r="J74" s="49">
        <f>J81+J91+J100+J107</f>
        <v>37810</v>
      </c>
      <c r="K74" s="49">
        <f>K81+K91+K100+K107</f>
        <v>49527.4</v>
      </c>
      <c r="L74" s="49">
        <f>L81+L91+L100+L107+L114+L128+L121</f>
        <v>58201.9</v>
      </c>
      <c r="M74" s="49">
        <f>M81+M91+M100+M107+M114+M128+M121</f>
        <v>13503.2</v>
      </c>
      <c r="N74" s="49">
        <f>N81+N91+N100+N107+N114+N128+N121</f>
        <v>8416.4</v>
      </c>
      <c r="O74" s="267">
        <f>O81+O91+O100+O107+O114+O128+O121</f>
        <v>22988.5</v>
      </c>
      <c r="Q74" s="252"/>
      <c r="R74" s="252"/>
      <c r="S74" s="252"/>
      <c r="T74" s="231"/>
    </row>
    <row r="75" spans="1:20" s="230" customFormat="1" ht="37.5">
      <c r="A75" s="492"/>
      <c r="B75" s="496"/>
      <c r="C75" s="45" t="s">
        <v>118</v>
      </c>
      <c r="D75" s="48" t="s">
        <v>109</v>
      </c>
      <c r="E75" s="48" t="s">
        <v>227</v>
      </c>
      <c r="F75" s="49">
        <f t="shared" si="15"/>
        <v>8119075.271679999</v>
      </c>
      <c r="G75" s="49">
        <f>G82+G92+G101</f>
        <v>695090.2163399999</v>
      </c>
      <c r="H75" s="49">
        <f t="shared" si="29"/>
        <v>693420.5404799999</v>
      </c>
      <c r="I75" s="49">
        <f t="shared" si="29"/>
        <v>824584.4002500001</v>
      </c>
      <c r="J75" s="49">
        <f t="shared" si="29"/>
        <v>943137.08505</v>
      </c>
      <c r="K75" s="49">
        <f t="shared" si="29"/>
        <v>1077803.55817</v>
      </c>
      <c r="L75" s="49">
        <f>L82+L92+L101+L108+L129+L115+L122</f>
        <v>993764.61769</v>
      </c>
      <c r="M75" s="49">
        <f>M82+M92+M101+M108+M129+M115+M122</f>
        <v>976040.10843</v>
      </c>
      <c r="N75" s="49">
        <f>N82+N92+N101+N108+N129+N115+N122</f>
        <v>952255.2484300002</v>
      </c>
      <c r="O75" s="267">
        <f>O82+O92+O101+O108+O129+O115+O122</f>
        <v>962979.49684</v>
      </c>
      <c r="Q75" s="252"/>
      <c r="R75" s="252"/>
      <c r="S75" s="252"/>
      <c r="T75" s="231"/>
    </row>
    <row r="76" spans="1:20" s="230" customFormat="1" ht="56.25">
      <c r="A76" s="492"/>
      <c r="B76" s="496"/>
      <c r="C76" s="45" t="s">
        <v>119</v>
      </c>
      <c r="D76" s="48"/>
      <c r="E76" s="48"/>
      <c r="F76" s="49">
        <f t="shared" si="15"/>
        <v>1369.0517709090907</v>
      </c>
      <c r="G76" s="49">
        <f aca="true" t="shared" si="30" ref="G76:K77">G86+G102+G95+G109</f>
        <v>526.939</v>
      </c>
      <c r="H76" s="49">
        <f t="shared" si="30"/>
        <v>165.747</v>
      </c>
      <c r="I76" s="49">
        <f t="shared" si="30"/>
        <v>125</v>
      </c>
      <c r="J76" s="49">
        <f t="shared" si="30"/>
        <v>0</v>
      </c>
      <c r="K76" s="49">
        <f t="shared" si="30"/>
        <v>150.59</v>
      </c>
      <c r="L76" s="49">
        <f>L86+L102+L95+L109+L116+L123+L130</f>
        <v>256.3020909090909</v>
      </c>
      <c r="M76" s="49">
        <f>M86+M102+M95+M109+M116+M123+M130</f>
        <v>41.63158</v>
      </c>
      <c r="N76" s="49">
        <f>N86+N102+N95+N109+N116+N123+N130</f>
        <v>51.42105</v>
      </c>
      <c r="O76" s="267">
        <f>O86+O102+O95+O109+O116+O123+O130</f>
        <v>51.42105</v>
      </c>
      <c r="Q76" s="231"/>
      <c r="R76" s="231"/>
      <c r="S76" s="231"/>
      <c r="T76" s="231"/>
    </row>
    <row r="77" spans="1:15" s="230" customFormat="1" ht="56.25">
      <c r="A77" s="492"/>
      <c r="B77" s="496"/>
      <c r="C77" s="45" t="s">
        <v>120</v>
      </c>
      <c r="D77" s="48"/>
      <c r="E77" s="48"/>
      <c r="F77" s="49">
        <f t="shared" si="15"/>
        <v>0</v>
      </c>
      <c r="G77" s="49">
        <f t="shared" si="30"/>
        <v>0</v>
      </c>
      <c r="H77" s="49">
        <f t="shared" si="30"/>
        <v>0</v>
      </c>
      <c r="I77" s="49">
        <f t="shared" si="30"/>
        <v>0</v>
      </c>
      <c r="J77" s="49">
        <f t="shared" si="30"/>
        <v>0</v>
      </c>
      <c r="K77" s="49">
        <f t="shared" si="30"/>
        <v>0</v>
      </c>
      <c r="L77" s="49">
        <f>L87+L103+L96+L110</f>
        <v>0</v>
      </c>
      <c r="M77" s="49">
        <f>M87+M103+M96+M110</f>
        <v>0</v>
      </c>
      <c r="N77" s="49">
        <f>N87+N103+N96+N110</f>
        <v>0</v>
      </c>
      <c r="O77" s="267">
        <f>O87+O103+O96+O110</f>
        <v>0</v>
      </c>
    </row>
    <row r="78" spans="1:15" s="230" customFormat="1" ht="56.25">
      <c r="A78" s="492"/>
      <c r="B78" s="496"/>
      <c r="C78" s="45" t="s">
        <v>192</v>
      </c>
      <c r="D78" s="48"/>
      <c r="E78" s="48"/>
      <c r="F78" s="49">
        <f t="shared" si="15"/>
        <v>0</v>
      </c>
      <c r="G78" s="49">
        <f aca="true" t="shared" si="31" ref="G78:L79">G88+G104+G97+G111</f>
        <v>0</v>
      </c>
      <c r="H78" s="49">
        <f t="shared" si="31"/>
        <v>0</v>
      </c>
      <c r="I78" s="49">
        <f t="shared" si="31"/>
        <v>0</v>
      </c>
      <c r="J78" s="49">
        <f t="shared" si="31"/>
        <v>0</v>
      </c>
      <c r="K78" s="49">
        <f t="shared" si="31"/>
        <v>0</v>
      </c>
      <c r="L78" s="49">
        <f t="shared" si="31"/>
        <v>0</v>
      </c>
      <c r="M78" s="49">
        <f aca="true" t="shared" si="32" ref="M78:O79">M88+M104+M97+M111</f>
        <v>0</v>
      </c>
      <c r="N78" s="49">
        <f t="shared" si="32"/>
        <v>0</v>
      </c>
      <c r="O78" s="267">
        <f t="shared" si="32"/>
        <v>0</v>
      </c>
    </row>
    <row r="79" spans="1:15" s="230" customFormat="1" ht="112.5">
      <c r="A79" s="492"/>
      <c r="B79" s="496"/>
      <c r="C79" s="45" t="s">
        <v>178</v>
      </c>
      <c r="D79" s="48"/>
      <c r="E79" s="48"/>
      <c r="F79" s="49">
        <f t="shared" si="15"/>
        <v>0</v>
      </c>
      <c r="G79" s="49">
        <f t="shared" si="31"/>
        <v>0</v>
      </c>
      <c r="H79" s="49">
        <f t="shared" si="31"/>
        <v>0</v>
      </c>
      <c r="I79" s="49">
        <f t="shared" si="31"/>
        <v>0</v>
      </c>
      <c r="J79" s="49">
        <f t="shared" si="31"/>
        <v>0</v>
      </c>
      <c r="K79" s="49">
        <f t="shared" si="31"/>
        <v>0</v>
      </c>
      <c r="L79" s="49">
        <f t="shared" si="31"/>
        <v>0</v>
      </c>
      <c r="M79" s="49">
        <f t="shared" si="32"/>
        <v>0</v>
      </c>
      <c r="N79" s="49">
        <f t="shared" si="32"/>
        <v>0</v>
      </c>
      <c r="O79" s="267">
        <f t="shared" si="32"/>
        <v>0</v>
      </c>
    </row>
    <row r="80" spans="1:15" s="230" customFormat="1" ht="27.75" customHeight="1">
      <c r="A80" s="487" t="s">
        <v>125</v>
      </c>
      <c r="B80" s="488" t="s">
        <v>581</v>
      </c>
      <c r="C80" s="45" t="s">
        <v>116</v>
      </c>
      <c r="D80" s="42"/>
      <c r="E80" s="48"/>
      <c r="F80" s="49">
        <f t="shared" si="15"/>
        <v>477819.75269999995</v>
      </c>
      <c r="G80" s="49">
        <f aca="true" t="shared" si="33" ref="G80:O80">G82</f>
        <v>46342.92969</v>
      </c>
      <c r="H80" s="49">
        <f t="shared" si="33"/>
        <v>15306.85225</v>
      </c>
      <c r="I80" s="49">
        <f t="shared" si="33"/>
        <v>11402.54132</v>
      </c>
      <c r="J80" s="49">
        <f t="shared" si="33"/>
        <v>79756.73599999999</v>
      </c>
      <c r="K80" s="49">
        <f t="shared" si="33"/>
        <v>85644.6421</v>
      </c>
      <c r="L80" s="49">
        <f t="shared" si="33"/>
        <v>104861.67764</v>
      </c>
      <c r="M80" s="49">
        <f t="shared" si="33"/>
        <v>78076.07369</v>
      </c>
      <c r="N80" s="49">
        <f>N82</f>
        <v>29491.20001</v>
      </c>
      <c r="O80" s="267">
        <f t="shared" si="33"/>
        <v>26937.1</v>
      </c>
    </row>
    <row r="81" spans="1:15" s="230" customFormat="1" ht="56.25">
      <c r="A81" s="487"/>
      <c r="B81" s="488"/>
      <c r="C81" s="45" t="s">
        <v>117</v>
      </c>
      <c r="D81" s="42"/>
      <c r="E81" s="48"/>
      <c r="F81" s="49">
        <f t="shared" si="15"/>
        <v>0</v>
      </c>
      <c r="G81" s="49">
        <f>'приложение 8'!D156</f>
        <v>0</v>
      </c>
      <c r="H81" s="49">
        <f>'приложение 8'!E156</f>
        <v>0</v>
      </c>
      <c r="I81" s="49">
        <f>'приложение 8'!F156</f>
        <v>0</v>
      </c>
      <c r="J81" s="49">
        <f>'приложение 8'!G156</f>
        <v>0</v>
      </c>
      <c r="K81" s="49">
        <v>0</v>
      </c>
      <c r="L81" s="49">
        <v>0</v>
      </c>
      <c r="M81" s="49">
        <v>0</v>
      </c>
      <c r="N81" s="59">
        <v>0</v>
      </c>
      <c r="O81" s="269">
        <v>0</v>
      </c>
    </row>
    <row r="82" spans="1:15" s="230" customFormat="1" ht="37.5">
      <c r="A82" s="487"/>
      <c r="B82" s="488"/>
      <c r="C82" s="45" t="s">
        <v>118</v>
      </c>
      <c r="D82" s="48" t="s">
        <v>109</v>
      </c>
      <c r="E82" s="48" t="s">
        <v>227</v>
      </c>
      <c r="F82" s="49">
        <f t="shared" si="15"/>
        <v>477819.75269999995</v>
      </c>
      <c r="G82" s="49">
        <f>'приложение 8'!D157</f>
        <v>46342.92969</v>
      </c>
      <c r="H82" s="49">
        <f>'приложение 8'!E157</f>
        <v>15306.85225</v>
      </c>
      <c r="I82" s="49">
        <f>'приложение 8'!F157</f>
        <v>11402.54132</v>
      </c>
      <c r="J82" s="49">
        <f>'приложение 8'!G157</f>
        <v>79756.73599999999</v>
      </c>
      <c r="K82" s="49">
        <f>4015.048+3731.93348+77897.66062</f>
        <v>85644.6421</v>
      </c>
      <c r="L82" s="49">
        <f>104861.67764</f>
        <v>104861.67764</v>
      </c>
      <c r="M82" s="296">
        <f>15876.7+7100+55099.37369</f>
        <v>78076.07369</v>
      </c>
      <c r="N82" s="59">
        <f>15891.2+2400+11200.00001</f>
        <v>29491.20001</v>
      </c>
      <c r="O82" s="269">
        <f>14289.1+2232+10416</f>
        <v>26937.1</v>
      </c>
    </row>
    <row r="83" spans="1:15" s="230" customFormat="1" ht="36" customHeight="1" hidden="1">
      <c r="A83" s="487"/>
      <c r="B83" s="488"/>
      <c r="C83" s="45" t="s">
        <v>118</v>
      </c>
      <c r="D83" s="48" t="s">
        <v>109</v>
      </c>
      <c r="E83" s="48" t="s">
        <v>126</v>
      </c>
      <c r="F83" s="49">
        <f t="shared" si="15"/>
        <v>324387.85</v>
      </c>
      <c r="G83" s="49">
        <v>27833.86</v>
      </c>
      <c r="H83" s="49">
        <v>46737.15</v>
      </c>
      <c r="I83" s="49">
        <v>47141.54</v>
      </c>
      <c r="J83" s="49">
        <v>49121.5</v>
      </c>
      <c r="K83" s="49">
        <v>51184.6</v>
      </c>
      <c r="L83" s="49">
        <v>51184.6</v>
      </c>
      <c r="M83" s="49">
        <v>51184.6</v>
      </c>
      <c r="N83" s="59">
        <v>0</v>
      </c>
      <c r="O83" s="269">
        <v>0</v>
      </c>
    </row>
    <row r="84" spans="1:15" s="230" customFormat="1" ht="36" customHeight="1" hidden="1">
      <c r="A84" s="487"/>
      <c r="B84" s="488"/>
      <c r="C84" s="45" t="s">
        <v>118</v>
      </c>
      <c r="D84" s="48" t="s">
        <v>109</v>
      </c>
      <c r="E84" s="48" t="s">
        <v>127</v>
      </c>
      <c r="F84" s="49">
        <f t="shared" si="15"/>
        <v>86252.6</v>
      </c>
      <c r="G84" s="49">
        <v>14903.3</v>
      </c>
      <c r="H84" s="49">
        <v>11153.1</v>
      </c>
      <c r="I84" s="49">
        <v>11359.3</v>
      </c>
      <c r="J84" s="49">
        <v>11836.4</v>
      </c>
      <c r="K84" s="49">
        <v>12333.5</v>
      </c>
      <c r="L84" s="49">
        <v>12333.5</v>
      </c>
      <c r="M84" s="49">
        <v>12333.5</v>
      </c>
      <c r="N84" s="59"/>
      <c r="O84" s="269"/>
    </row>
    <row r="85" spans="1:15" s="230" customFormat="1" ht="36" customHeight="1" hidden="1">
      <c r="A85" s="487"/>
      <c r="B85" s="488"/>
      <c r="C85" s="45" t="s">
        <v>118</v>
      </c>
      <c r="D85" s="48" t="s">
        <v>109</v>
      </c>
      <c r="E85" s="48" t="s">
        <v>155</v>
      </c>
      <c r="F85" s="49">
        <f t="shared" si="15"/>
        <v>1032</v>
      </c>
      <c r="G85" s="49">
        <v>141.4</v>
      </c>
      <c r="H85" s="49">
        <v>141.4</v>
      </c>
      <c r="I85" s="49">
        <v>141.4</v>
      </c>
      <c r="J85" s="49">
        <v>147.3</v>
      </c>
      <c r="K85" s="49">
        <v>153.5</v>
      </c>
      <c r="L85" s="49">
        <v>153.5</v>
      </c>
      <c r="M85" s="49">
        <v>153.5</v>
      </c>
      <c r="N85" s="59"/>
      <c r="O85" s="269"/>
    </row>
    <row r="86" spans="1:15" s="230" customFormat="1" ht="56.25">
      <c r="A86" s="487"/>
      <c r="B86" s="488"/>
      <c r="C86" s="45" t="s">
        <v>119</v>
      </c>
      <c r="D86" s="48"/>
      <c r="E86" s="48"/>
      <c r="F86" s="49">
        <f t="shared" si="15"/>
        <v>0</v>
      </c>
      <c r="G86" s="49">
        <f>'приложение 8'!D158</f>
        <v>0</v>
      </c>
      <c r="H86" s="49">
        <f>'приложение 8'!E158</f>
        <v>0</v>
      </c>
      <c r="I86" s="49">
        <f>'приложение 8'!F158</f>
        <v>0</v>
      </c>
      <c r="J86" s="49">
        <f>'приложение 8'!G158</f>
        <v>0</v>
      </c>
      <c r="K86" s="49">
        <v>0</v>
      </c>
      <c r="L86" s="49">
        <v>0</v>
      </c>
      <c r="M86" s="49">
        <v>0</v>
      </c>
      <c r="N86" s="59">
        <v>0</v>
      </c>
      <c r="O86" s="269">
        <v>0</v>
      </c>
    </row>
    <row r="87" spans="1:15" s="230" customFormat="1" ht="56.25">
      <c r="A87" s="487"/>
      <c r="B87" s="488"/>
      <c r="C87" s="45" t="s">
        <v>120</v>
      </c>
      <c r="D87" s="48"/>
      <c r="E87" s="48"/>
      <c r="F87" s="49">
        <f t="shared" si="15"/>
        <v>0</v>
      </c>
      <c r="G87" s="49">
        <f>'приложение 8'!D159</f>
        <v>0</v>
      </c>
      <c r="H87" s="49">
        <f>'приложение 8'!E159</f>
        <v>0</v>
      </c>
      <c r="I87" s="49">
        <f>'приложение 8'!F159</f>
        <v>0</v>
      </c>
      <c r="J87" s="49">
        <f>'приложение 8'!G159</f>
        <v>0</v>
      </c>
      <c r="K87" s="49">
        <v>0</v>
      </c>
      <c r="L87" s="49">
        <v>0</v>
      </c>
      <c r="M87" s="49">
        <v>0</v>
      </c>
      <c r="N87" s="59">
        <v>0</v>
      </c>
      <c r="O87" s="269">
        <v>0</v>
      </c>
    </row>
    <row r="88" spans="1:15" s="230" customFormat="1" ht="56.25">
      <c r="A88" s="487"/>
      <c r="B88" s="488"/>
      <c r="C88" s="45" t="s">
        <v>192</v>
      </c>
      <c r="D88" s="48"/>
      <c r="E88" s="48"/>
      <c r="F88" s="49">
        <f t="shared" si="15"/>
        <v>0</v>
      </c>
      <c r="G88" s="49">
        <v>0</v>
      </c>
      <c r="H88" s="49">
        <v>0</v>
      </c>
      <c r="I88" s="49">
        <v>0</v>
      </c>
      <c r="J88" s="49">
        <v>0</v>
      </c>
      <c r="K88" s="49">
        <v>0</v>
      </c>
      <c r="L88" s="49">
        <v>0</v>
      </c>
      <c r="M88" s="49">
        <v>0</v>
      </c>
      <c r="N88" s="59">
        <v>0</v>
      </c>
      <c r="O88" s="269">
        <v>0</v>
      </c>
    </row>
    <row r="89" spans="1:15" s="230" customFormat="1" ht="112.5">
      <c r="A89" s="487"/>
      <c r="B89" s="488"/>
      <c r="C89" s="45" t="s">
        <v>178</v>
      </c>
      <c r="D89" s="48"/>
      <c r="E89" s="48"/>
      <c r="F89" s="49">
        <f t="shared" si="15"/>
        <v>0</v>
      </c>
      <c r="G89" s="49">
        <v>0</v>
      </c>
      <c r="H89" s="49">
        <v>0</v>
      </c>
      <c r="I89" s="49">
        <v>0</v>
      </c>
      <c r="J89" s="49">
        <v>0</v>
      </c>
      <c r="K89" s="49">
        <v>0</v>
      </c>
      <c r="L89" s="49">
        <v>0</v>
      </c>
      <c r="M89" s="49">
        <v>0</v>
      </c>
      <c r="N89" s="59">
        <v>0</v>
      </c>
      <c r="O89" s="269">
        <v>0</v>
      </c>
    </row>
    <row r="90" spans="1:15" s="230" customFormat="1" ht="27.75" customHeight="1">
      <c r="A90" s="492" t="s">
        <v>128</v>
      </c>
      <c r="B90" s="496" t="s">
        <v>582</v>
      </c>
      <c r="C90" s="45" t="s">
        <v>116</v>
      </c>
      <c r="D90" s="42"/>
      <c r="E90" s="48"/>
      <c r="F90" s="49">
        <f t="shared" si="15"/>
        <v>7737184.83793</v>
      </c>
      <c r="G90" s="49">
        <f aca="true" t="shared" si="34" ref="G90:O90">G92+G95+G91+G96</f>
        <v>662433.98265</v>
      </c>
      <c r="H90" s="49">
        <f t="shared" si="34"/>
        <v>684097.6972299999</v>
      </c>
      <c r="I90" s="49">
        <f t="shared" si="34"/>
        <v>818457.9029300001</v>
      </c>
      <c r="J90" s="49">
        <f t="shared" si="34"/>
        <v>901065.34905</v>
      </c>
      <c r="K90" s="49">
        <f t="shared" si="34"/>
        <v>1038483.51607</v>
      </c>
      <c r="L90" s="49">
        <f t="shared" si="34"/>
        <v>884439.835</v>
      </c>
      <c r="M90" s="49">
        <f t="shared" si="34"/>
        <v>891237.5700000001</v>
      </c>
      <c r="N90" s="49">
        <f>N92+N95+N91+N96</f>
        <v>921827.5800000001</v>
      </c>
      <c r="O90" s="267">
        <f t="shared" si="34"/>
        <v>935141.405</v>
      </c>
    </row>
    <row r="91" spans="1:15" s="230" customFormat="1" ht="56.25">
      <c r="A91" s="492"/>
      <c r="B91" s="496"/>
      <c r="C91" s="45" t="s">
        <v>117</v>
      </c>
      <c r="D91" s="42"/>
      <c r="E91" s="48"/>
      <c r="F91" s="49">
        <f t="shared" si="15"/>
        <v>116853.446</v>
      </c>
      <c r="G91" s="49">
        <f>'приложение 8'!D221</f>
        <v>15892.484</v>
      </c>
      <c r="H91" s="49">
        <f>'приложение 8'!E221</f>
        <v>7115.062</v>
      </c>
      <c r="I91" s="49">
        <f>'приложение 8'!F221</f>
        <v>6508.5</v>
      </c>
      <c r="J91" s="49">
        <f>'приложение 8'!G221</f>
        <v>37810</v>
      </c>
      <c r="K91" s="49">
        <v>49527.4</v>
      </c>
      <c r="L91" s="49">
        <v>0</v>
      </c>
      <c r="M91" s="49">
        <v>0</v>
      </c>
      <c r="N91" s="59">
        <v>0</v>
      </c>
      <c r="O91" s="269">
        <v>0</v>
      </c>
    </row>
    <row r="92" spans="1:15" s="230" customFormat="1" ht="56.25">
      <c r="A92" s="492"/>
      <c r="B92" s="496"/>
      <c r="C92" s="45" t="s">
        <v>156</v>
      </c>
      <c r="D92" s="48" t="s">
        <v>109</v>
      </c>
      <c r="E92" s="48" t="s">
        <v>227</v>
      </c>
      <c r="F92" s="49">
        <f t="shared" si="15"/>
        <v>7620108.23293</v>
      </c>
      <c r="G92" s="49">
        <f>'приложение 8'!D222</f>
        <v>646397.2866499999</v>
      </c>
      <c r="H92" s="49">
        <f>'приложение 8'!E222</f>
        <v>676903.6882299999</v>
      </c>
      <c r="I92" s="49">
        <f>'приложение 8'!F222</f>
        <v>811949.4029300001</v>
      </c>
      <c r="J92" s="49">
        <f>'приложение 8'!G222</f>
        <v>863255.34905</v>
      </c>
      <c r="K92" s="49">
        <f>123530.76+107861.79571+725391.23036+32172.33</f>
        <v>988956.11607</v>
      </c>
      <c r="L92" s="49">
        <f>884439.835</f>
        <v>884439.835</v>
      </c>
      <c r="M92" s="85">
        <f>147158.65+106436.78+637642.14</f>
        <v>891237.5700000001</v>
      </c>
      <c r="N92" s="59">
        <f>147970.59+124698.58+649158.41</f>
        <v>921827.5800000001</v>
      </c>
      <c r="O92" s="269">
        <f>154656.32+128335.055+652150.03</f>
        <v>935141.405</v>
      </c>
    </row>
    <row r="93" spans="1:15" s="230" customFormat="1" ht="36" customHeight="1" hidden="1">
      <c r="A93" s="492"/>
      <c r="B93" s="496"/>
      <c r="C93" s="45" t="s">
        <v>158</v>
      </c>
      <c r="D93" s="48" t="s">
        <v>109</v>
      </c>
      <c r="E93" s="48" t="s">
        <v>157</v>
      </c>
      <c r="F93" s="49">
        <f t="shared" si="15"/>
        <v>4239860.08</v>
      </c>
      <c r="G93" s="49">
        <v>563539.76</v>
      </c>
      <c r="H93" s="49">
        <v>562728.8400000001</v>
      </c>
      <c r="I93" s="49">
        <v>587548.58</v>
      </c>
      <c r="J93" s="49">
        <v>612225.6</v>
      </c>
      <c r="K93" s="49">
        <v>637939.1</v>
      </c>
      <c r="L93" s="49">
        <v>637939.1</v>
      </c>
      <c r="M93" s="49">
        <v>637939.1</v>
      </c>
      <c r="N93" s="59">
        <v>0</v>
      </c>
      <c r="O93" s="269">
        <v>0</v>
      </c>
    </row>
    <row r="94" spans="1:15" s="230" customFormat="1" ht="36" customHeight="1" hidden="1">
      <c r="A94" s="492"/>
      <c r="B94" s="496"/>
      <c r="C94" s="45" t="s">
        <v>158</v>
      </c>
      <c r="D94" s="48" t="s">
        <v>109</v>
      </c>
      <c r="E94" s="48" t="s">
        <v>126</v>
      </c>
      <c r="F94" s="49">
        <f t="shared" si="15"/>
        <v>256935.34000000008</v>
      </c>
      <c r="G94" s="49">
        <v>30090.94</v>
      </c>
      <c r="H94" s="49">
        <v>31690</v>
      </c>
      <c r="I94" s="49">
        <v>36826.5</v>
      </c>
      <c r="J94" s="49">
        <v>38373.2</v>
      </c>
      <c r="K94" s="49">
        <v>39984.90000000002</v>
      </c>
      <c r="L94" s="49">
        <v>39984.90000000002</v>
      </c>
      <c r="M94" s="49">
        <v>39984.90000000002</v>
      </c>
      <c r="N94" s="59">
        <v>0</v>
      </c>
      <c r="O94" s="269">
        <v>0</v>
      </c>
    </row>
    <row r="95" spans="1:15" s="230" customFormat="1" ht="56.25">
      <c r="A95" s="492"/>
      <c r="B95" s="496"/>
      <c r="C95" s="45" t="s">
        <v>119</v>
      </c>
      <c r="D95" s="48"/>
      <c r="E95" s="48"/>
      <c r="F95" s="49">
        <f aca="true" t="shared" si="35" ref="F95:F159">G95+H95+I95+J95+K95+L95+M95+O95+N95</f>
        <v>223.159</v>
      </c>
      <c r="G95" s="49">
        <f>'приложение 8'!D223</f>
        <v>144.212</v>
      </c>
      <c r="H95" s="49">
        <f>'приложение 8'!E223</f>
        <v>78.947</v>
      </c>
      <c r="I95" s="49">
        <f>'приложение 8'!F223</f>
        <v>0</v>
      </c>
      <c r="J95" s="49">
        <f>'приложение 8'!G223</f>
        <v>0</v>
      </c>
      <c r="K95" s="49">
        <v>0</v>
      </c>
      <c r="L95" s="49">
        <v>0</v>
      </c>
      <c r="M95" s="49">
        <v>0</v>
      </c>
      <c r="N95" s="59">
        <v>0</v>
      </c>
      <c r="O95" s="269">
        <v>0</v>
      </c>
    </row>
    <row r="96" spans="1:15" s="230" customFormat="1" ht="56.25">
      <c r="A96" s="492"/>
      <c r="B96" s="496"/>
      <c r="C96" s="45" t="s">
        <v>120</v>
      </c>
      <c r="D96" s="48"/>
      <c r="E96" s="48"/>
      <c r="F96" s="49">
        <f t="shared" si="35"/>
        <v>0</v>
      </c>
      <c r="G96" s="49">
        <f>'приложение 8'!D224</f>
        <v>0</v>
      </c>
      <c r="H96" s="49">
        <f>'приложение 8'!E224</f>
        <v>0</v>
      </c>
      <c r="I96" s="49">
        <f>'приложение 8'!F224</f>
        <v>0</v>
      </c>
      <c r="J96" s="49">
        <f>'приложение 8'!G224</f>
        <v>0</v>
      </c>
      <c r="K96" s="49">
        <v>0</v>
      </c>
      <c r="L96" s="49">
        <v>0</v>
      </c>
      <c r="M96" s="49">
        <v>0</v>
      </c>
      <c r="N96" s="59">
        <v>0</v>
      </c>
      <c r="O96" s="269">
        <v>0</v>
      </c>
    </row>
    <row r="97" spans="1:15" s="230" customFormat="1" ht="56.25">
      <c r="A97" s="492"/>
      <c r="B97" s="496"/>
      <c r="C97" s="45" t="s">
        <v>192</v>
      </c>
      <c r="D97" s="48"/>
      <c r="E97" s="48"/>
      <c r="F97" s="49">
        <f t="shared" si="35"/>
        <v>0</v>
      </c>
      <c r="G97" s="49">
        <v>0</v>
      </c>
      <c r="H97" s="49">
        <v>0</v>
      </c>
      <c r="I97" s="49">
        <v>0</v>
      </c>
      <c r="J97" s="49">
        <v>0</v>
      </c>
      <c r="K97" s="49">
        <v>0</v>
      </c>
      <c r="L97" s="49">
        <v>0</v>
      </c>
      <c r="M97" s="49">
        <v>0</v>
      </c>
      <c r="N97" s="59">
        <v>0</v>
      </c>
      <c r="O97" s="269">
        <v>0</v>
      </c>
    </row>
    <row r="98" spans="1:15" s="230" customFormat="1" ht="112.5">
      <c r="A98" s="492"/>
      <c r="B98" s="496"/>
      <c r="C98" s="45" t="s">
        <v>178</v>
      </c>
      <c r="D98" s="48"/>
      <c r="E98" s="48"/>
      <c r="F98" s="49">
        <f t="shared" si="35"/>
        <v>0</v>
      </c>
      <c r="G98" s="49">
        <v>0</v>
      </c>
      <c r="H98" s="49">
        <v>0</v>
      </c>
      <c r="I98" s="49">
        <v>0</v>
      </c>
      <c r="J98" s="49">
        <v>0</v>
      </c>
      <c r="K98" s="49">
        <v>0</v>
      </c>
      <c r="L98" s="49">
        <v>0</v>
      </c>
      <c r="M98" s="49">
        <v>0</v>
      </c>
      <c r="N98" s="59">
        <v>0</v>
      </c>
      <c r="O98" s="269">
        <v>0</v>
      </c>
    </row>
    <row r="99" spans="1:15" s="230" customFormat="1" ht="27.75" customHeight="1">
      <c r="A99" s="487" t="s">
        <v>129</v>
      </c>
      <c r="B99" s="488" t="s">
        <v>583</v>
      </c>
      <c r="C99" s="45" t="s">
        <v>116</v>
      </c>
      <c r="D99" s="42"/>
      <c r="E99" s="48"/>
      <c r="F99" s="49">
        <f t="shared" si="35"/>
        <v>15239.49436</v>
      </c>
      <c r="G99" s="49">
        <f aca="true" t="shared" si="36" ref="G99:O99">G101+G102+G103+G104+G105</f>
        <v>2732.727</v>
      </c>
      <c r="H99" s="49">
        <f t="shared" si="36"/>
        <v>1296.8</v>
      </c>
      <c r="I99" s="49">
        <f t="shared" si="36"/>
        <v>1357.4560000000001</v>
      </c>
      <c r="J99" s="49">
        <f t="shared" si="36"/>
        <v>125</v>
      </c>
      <c r="K99" s="49">
        <f t="shared" si="36"/>
        <v>3353.3900000000003</v>
      </c>
      <c r="L99" s="49">
        <f t="shared" si="36"/>
        <v>3775.6644</v>
      </c>
      <c r="M99" s="49">
        <f t="shared" si="36"/>
        <v>1690.53158</v>
      </c>
      <c r="N99" s="49">
        <f>N101+N102+N103+N104+N105</f>
        <v>544.92105</v>
      </c>
      <c r="O99" s="267">
        <f t="shared" si="36"/>
        <v>363.00433</v>
      </c>
    </row>
    <row r="100" spans="1:15" s="230" customFormat="1" ht="56.25">
      <c r="A100" s="487"/>
      <c r="B100" s="488"/>
      <c r="C100" s="45" t="s">
        <v>117</v>
      </c>
      <c r="D100" s="42"/>
      <c r="E100" s="48"/>
      <c r="F100" s="49">
        <f t="shared" si="35"/>
        <v>0</v>
      </c>
      <c r="G100" s="49">
        <f>'приложение 8'!D271</f>
        <v>0</v>
      </c>
      <c r="H100" s="49">
        <f>'приложение 8'!E271</f>
        <v>0</v>
      </c>
      <c r="I100" s="49">
        <f>'приложение 8'!F271</f>
        <v>0</v>
      </c>
      <c r="J100" s="49">
        <f>'приложение 8'!G271</f>
        <v>0</v>
      </c>
      <c r="K100" s="49">
        <v>0</v>
      </c>
      <c r="L100" s="49">
        <v>0</v>
      </c>
      <c r="M100" s="49">
        <v>0</v>
      </c>
      <c r="N100" s="59">
        <v>0</v>
      </c>
      <c r="O100" s="269">
        <v>0</v>
      </c>
    </row>
    <row r="101" spans="1:15" s="230" customFormat="1" ht="37.5">
      <c r="A101" s="487"/>
      <c r="B101" s="488"/>
      <c r="C101" s="45" t="s">
        <v>118</v>
      </c>
      <c r="D101" s="48" t="s">
        <v>109</v>
      </c>
      <c r="E101" s="48" t="s">
        <v>227</v>
      </c>
      <c r="F101" s="49">
        <f t="shared" si="35"/>
        <v>14184.510680000001</v>
      </c>
      <c r="G101" s="49">
        <f>'приложение 8'!D272</f>
        <v>2350</v>
      </c>
      <c r="H101" s="49">
        <f>'приложение 8'!E272</f>
        <v>1210</v>
      </c>
      <c r="I101" s="49">
        <f>'приложение 8'!F272</f>
        <v>1232.4560000000001</v>
      </c>
      <c r="J101" s="49">
        <f>'приложение 8'!G272</f>
        <v>125</v>
      </c>
      <c r="K101" s="49">
        <f>1022.8+2180</f>
        <v>3202.8</v>
      </c>
      <c r="L101" s="49">
        <f>3610.2714</f>
        <v>3610.2714</v>
      </c>
      <c r="M101" s="296">
        <f>848.9+800</f>
        <v>1648.9</v>
      </c>
      <c r="N101" s="59">
        <f>493.5</f>
        <v>493.5</v>
      </c>
      <c r="O101" s="269">
        <f>311.58328</f>
        <v>311.58328</v>
      </c>
    </row>
    <row r="102" spans="1:15" s="230" customFormat="1" ht="56.25">
      <c r="A102" s="487"/>
      <c r="B102" s="488"/>
      <c r="C102" s="45" t="s">
        <v>119</v>
      </c>
      <c r="D102" s="48"/>
      <c r="E102" s="48"/>
      <c r="F102" s="49">
        <f t="shared" si="35"/>
        <v>1054.98368</v>
      </c>
      <c r="G102" s="49">
        <f>'приложение 8'!D273</f>
        <v>382.727</v>
      </c>
      <c r="H102" s="49">
        <f>'приложение 8'!E273</f>
        <v>86.8</v>
      </c>
      <c r="I102" s="49">
        <f>'приложение 8'!F273</f>
        <v>125</v>
      </c>
      <c r="J102" s="49">
        <f>'приложение 8'!G273</f>
        <v>0</v>
      </c>
      <c r="K102" s="49">
        <v>150.59</v>
      </c>
      <c r="L102" s="49">
        <v>165.393</v>
      </c>
      <c r="M102" s="49">
        <v>41.63158</v>
      </c>
      <c r="N102" s="59">
        <v>51.42105</v>
      </c>
      <c r="O102" s="269">
        <v>51.42105</v>
      </c>
    </row>
    <row r="103" spans="1:15" s="230" customFormat="1" ht="56.25">
      <c r="A103" s="487"/>
      <c r="B103" s="488"/>
      <c r="C103" s="45" t="s">
        <v>120</v>
      </c>
      <c r="D103" s="48"/>
      <c r="E103" s="48"/>
      <c r="F103" s="49">
        <f t="shared" si="35"/>
        <v>0</v>
      </c>
      <c r="G103" s="49">
        <f>'приложение 8'!D274</f>
        <v>0</v>
      </c>
      <c r="H103" s="49">
        <f>'приложение 8'!E274</f>
        <v>0</v>
      </c>
      <c r="I103" s="49">
        <f>'приложение 8'!F274</f>
        <v>0</v>
      </c>
      <c r="J103" s="49">
        <f>'приложение 8'!G274</f>
        <v>0</v>
      </c>
      <c r="K103" s="49">
        <v>0</v>
      </c>
      <c r="L103" s="49">
        <v>0</v>
      </c>
      <c r="M103" s="49">
        <v>0</v>
      </c>
      <c r="N103" s="59">
        <v>0</v>
      </c>
      <c r="O103" s="269">
        <v>0</v>
      </c>
    </row>
    <row r="104" spans="1:15" s="230" customFormat="1" ht="56.25">
      <c r="A104" s="487"/>
      <c r="B104" s="488"/>
      <c r="C104" s="45" t="s">
        <v>192</v>
      </c>
      <c r="D104" s="48"/>
      <c r="E104" s="48"/>
      <c r="F104" s="49">
        <f t="shared" si="35"/>
        <v>0</v>
      </c>
      <c r="G104" s="49">
        <v>0</v>
      </c>
      <c r="H104" s="49">
        <v>0</v>
      </c>
      <c r="I104" s="49">
        <v>0</v>
      </c>
      <c r="J104" s="49">
        <v>0</v>
      </c>
      <c r="K104" s="49">
        <v>0</v>
      </c>
      <c r="L104" s="49">
        <v>0</v>
      </c>
      <c r="M104" s="49">
        <v>0</v>
      </c>
      <c r="N104" s="59">
        <v>0</v>
      </c>
      <c r="O104" s="269">
        <v>0</v>
      </c>
    </row>
    <row r="105" spans="1:15" s="230" customFormat="1" ht="112.5">
      <c r="A105" s="487"/>
      <c r="B105" s="488"/>
      <c r="C105" s="45" t="s">
        <v>178</v>
      </c>
      <c r="D105" s="48"/>
      <c r="E105" s="48"/>
      <c r="F105" s="49">
        <f t="shared" si="35"/>
        <v>0</v>
      </c>
      <c r="G105" s="49">
        <v>0</v>
      </c>
      <c r="H105" s="49">
        <v>0</v>
      </c>
      <c r="I105" s="49">
        <v>0</v>
      </c>
      <c r="J105" s="49">
        <v>0</v>
      </c>
      <c r="K105" s="49">
        <v>0</v>
      </c>
      <c r="L105" s="49">
        <v>0</v>
      </c>
      <c r="M105" s="49">
        <v>0</v>
      </c>
      <c r="N105" s="59">
        <v>0</v>
      </c>
      <c r="O105" s="269">
        <v>0</v>
      </c>
    </row>
    <row r="106" spans="1:15" s="230" customFormat="1" ht="37.5">
      <c r="A106" s="487" t="s">
        <v>261</v>
      </c>
      <c r="B106" s="488" t="s">
        <v>649</v>
      </c>
      <c r="C106" s="45" t="s">
        <v>116</v>
      </c>
      <c r="D106" s="42"/>
      <c r="E106" s="48"/>
      <c r="F106" s="49">
        <f t="shared" si="35"/>
        <v>0</v>
      </c>
      <c r="G106" s="49">
        <f>G108+G109+G110+G111+G112+G107</f>
        <v>0</v>
      </c>
      <c r="H106" s="49">
        <f aca="true" t="shared" si="37" ref="H106:O106">H108+H109+H110+H111+H112+H107</f>
        <v>0</v>
      </c>
      <c r="I106" s="49">
        <f t="shared" si="37"/>
        <v>0</v>
      </c>
      <c r="J106" s="49">
        <f t="shared" si="37"/>
        <v>0</v>
      </c>
      <c r="K106" s="49">
        <f t="shared" si="37"/>
        <v>0</v>
      </c>
      <c r="L106" s="49">
        <f t="shared" si="37"/>
        <v>0</v>
      </c>
      <c r="M106" s="49">
        <f t="shared" si="37"/>
        <v>0</v>
      </c>
      <c r="N106" s="49">
        <f>N108+N109+N110+N111+N112+N107</f>
        <v>0</v>
      </c>
      <c r="O106" s="267">
        <f t="shared" si="37"/>
        <v>0</v>
      </c>
    </row>
    <row r="107" spans="1:15" s="230" customFormat="1" ht="56.25">
      <c r="A107" s="487"/>
      <c r="B107" s="488"/>
      <c r="C107" s="45" t="s">
        <v>117</v>
      </c>
      <c r="D107" s="42"/>
      <c r="E107" s="48"/>
      <c r="F107" s="49">
        <f t="shared" si="35"/>
        <v>0</v>
      </c>
      <c r="G107" s="49">
        <f>'приложение 8'!D278</f>
        <v>0</v>
      </c>
      <c r="H107" s="49">
        <f>'приложение 8'!E278</f>
        <v>0</v>
      </c>
      <c r="I107" s="49">
        <f>'приложение 8'!F278</f>
        <v>0</v>
      </c>
      <c r="J107" s="49">
        <f>'приложение 8'!G278</f>
        <v>0</v>
      </c>
      <c r="K107" s="49">
        <v>0</v>
      </c>
      <c r="L107" s="49">
        <v>0</v>
      </c>
      <c r="M107" s="49">
        <v>0</v>
      </c>
      <c r="N107" s="59">
        <v>0</v>
      </c>
      <c r="O107" s="269">
        <v>0</v>
      </c>
    </row>
    <row r="108" spans="1:15" s="230" customFormat="1" ht="37.5">
      <c r="A108" s="487"/>
      <c r="B108" s="488"/>
      <c r="C108" s="45" t="s">
        <v>118</v>
      </c>
      <c r="D108" s="48" t="s">
        <v>109</v>
      </c>
      <c r="E108" s="48" t="s">
        <v>227</v>
      </c>
      <c r="F108" s="49">
        <f t="shared" si="35"/>
        <v>0</v>
      </c>
      <c r="G108" s="49">
        <v>0</v>
      </c>
      <c r="H108" s="49">
        <v>0</v>
      </c>
      <c r="I108" s="49">
        <v>0</v>
      </c>
      <c r="J108" s="49">
        <f>'приложение 8'!G279</f>
        <v>0</v>
      </c>
      <c r="K108" s="49">
        <v>0</v>
      </c>
      <c r="L108" s="49">
        <v>0</v>
      </c>
      <c r="M108" s="49">
        <v>0</v>
      </c>
      <c r="N108" s="59">
        <v>0</v>
      </c>
      <c r="O108" s="269">
        <v>0</v>
      </c>
    </row>
    <row r="109" spans="1:15" s="230" customFormat="1" ht="56.25">
      <c r="A109" s="487"/>
      <c r="B109" s="488"/>
      <c r="C109" s="45" t="s">
        <v>119</v>
      </c>
      <c r="D109" s="48"/>
      <c r="E109" s="48"/>
      <c r="F109" s="49">
        <f t="shared" si="35"/>
        <v>0</v>
      </c>
      <c r="G109" s="49">
        <f>'приложение 8'!D280</f>
        <v>0</v>
      </c>
      <c r="H109" s="49">
        <f>'приложение 8'!E280</f>
        <v>0</v>
      </c>
      <c r="I109" s="49">
        <f>'приложение 8'!F280</f>
        <v>0</v>
      </c>
      <c r="J109" s="49">
        <f>'приложение 8'!G280</f>
        <v>0</v>
      </c>
      <c r="K109" s="49">
        <v>0</v>
      </c>
      <c r="L109" s="49">
        <v>0</v>
      </c>
      <c r="M109" s="49">
        <v>0</v>
      </c>
      <c r="N109" s="59">
        <v>0</v>
      </c>
      <c r="O109" s="269">
        <v>0</v>
      </c>
    </row>
    <row r="110" spans="1:15" s="230" customFormat="1" ht="56.25">
      <c r="A110" s="487"/>
      <c r="B110" s="488"/>
      <c r="C110" s="45" t="s">
        <v>120</v>
      </c>
      <c r="D110" s="48"/>
      <c r="E110" s="48"/>
      <c r="F110" s="49">
        <f t="shared" si="35"/>
        <v>0</v>
      </c>
      <c r="G110" s="49">
        <f>'приложение 8'!D281</f>
        <v>0</v>
      </c>
      <c r="H110" s="49">
        <f>'приложение 8'!E281</f>
        <v>0</v>
      </c>
      <c r="I110" s="49">
        <f>'приложение 8'!F281</f>
        <v>0</v>
      </c>
      <c r="J110" s="49">
        <f>'приложение 8'!G281</f>
        <v>0</v>
      </c>
      <c r="K110" s="49">
        <v>0</v>
      </c>
      <c r="L110" s="49">
        <v>0</v>
      </c>
      <c r="M110" s="49">
        <v>0</v>
      </c>
      <c r="N110" s="59">
        <v>0</v>
      </c>
      <c r="O110" s="269">
        <v>0</v>
      </c>
    </row>
    <row r="111" spans="1:15" s="230" customFormat="1" ht="56.25">
      <c r="A111" s="487"/>
      <c r="B111" s="488"/>
      <c r="C111" s="45" t="s">
        <v>192</v>
      </c>
      <c r="D111" s="48"/>
      <c r="E111" s="48"/>
      <c r="F111" s="49">
        <f t="shared" si="35"/>
        <v>0</v>
      </c>
      <c r="G111" s="49">
        <v>0</v>
      </c>
      <c r="H111" s="49">
        <v>0</v>
      </c>
      <c r="I111" s="49">
        <v>0</v>
      </c>
      <c r="J111" s="49">
        <v>0</v>
      </c>
      <c r="K111" s="49">
        <v>0</v>
      </c>
      <c r="L111" s="49">
        <v>0</v>
      </c>
      <c r="M111" s="49">
        <v>0</v>
      </c>
      <c r="N111" s="59">
        <v>0</v>
      </c>
      <c r="O111" s="269">
        <v>0</v>
      </c>
    </row>
    <row r="112" spans="1:15" s="230" customFormat="1" ht="112.5">
      <c r="A112" s="487"/>
      <c r="B112" s="488"/>
      <c r="C112" s="45" t="s">
        <v>178</v>
      </c>
      <c r="D112" s="48"/>
      <c r="E112" s="48"/>
      <c r="F112" s="49">
        <f t="shared" si="35"/>
        <v>0</v>
      </c>
      <c r="G112" s="49">
        <v>0</v>
      </c>
      <c r="H112" s="49">
        <v>0</v>
      </c>
      <c r="I112" s="49">
        <v>0</v>
      </c>
      <c r="J112" s="49">
        <v>0</v>
      </c>
      <c r="K112" s="49">
        <v>0</v>
      </c>
      <c r="L112" s="49">
        <v>0</v>
      </c>
      <c r="M112" s="49">
        <v>0</v>
      </c>
      <c r="N112" s="59">
        <v>0</v>
      </c>
      <c r="O112" s="269">
        <v>0</v>
      </c>
    </row>
    <row r="113" spans="1:15" s="230" customFormat="1" ht="37.5">
      <c r="A113" s="487" t="s">
        <v>531</v>
      </c>
      <c r="B113" s="488" t="s">
        <v>648</v>
      </c>
      <c r="C113" s="45" t="s">
        <v>116</v>
      </c>
      <c r="D113" s="42"/>
      <c r="E113" s="48"/>
      <c r="F113" s="49">
        <f t="shared" si="35"/>
        <v>0</v>
      </c>
      <c r="G113" s="49">
        <f>G114+G115+G116+G117+G118+G119</f>
        <v>0</v>
      </c>
      <c r="H113" s="49">
        <f aca="true" t="shared" si="38" ref="H113:O113">H114+H115+H116+H117+H118+H119</f>
        <v>0</v>
      </c>
      <c r="I113" s="49">
        <f t="shared" si="38"/>
        <v>0</v>
      </c>
      <c r="J113" s="49">
        <f t="shared" si="38"/>
        <v>0</v>
      </c>
      <c r="K113" s="49">
        <f t="shared" si="38"/>
        <v>0</v>
      </c>
      <c r="L113" s="49">
        <f t="shared" si="38"/>
        <v>0</v>
      </c>
      <c r="M113" s="49">
        <f t="shared" si="38"/>
        <v>0</v>
      </c>
      <c r="N113" s="49">
        <f>N114+N115+N116+N117+N118+N119</f>
        <v>0</v>
      </c>
      <c r="O113" s="267">
        <f t="shared" si="38"/>
        <v>0</v>
      </c>
    </row>
    <row r="114" spans="1:15" s="230" customFormat="1" ht="56.25">
      <c r="A114" s="487"/>
      <c r="B114" s="488"/>
      <c r="C114" s="45" t="s">
        <v>117</v>
      </c>
      <c r="D114" s="42"/>
      <c r="E114" s="48"/>
      <c r="F114" s="49">
        <f t="shared" si="35"/>
        <v>0</v>
      </c>
      <c r="G114" s="49">
        <f>'[2]приложение 8'!D292</f>
        <v>0</v>
      </c>
      <c r="H114" s="49">
        <f>'[2]приложение 8'!E292</f>
        <v>0</v>
      </c>
      <c r="I114" s="49">
        <f>'[2]приложение 8'!F292</f>
        <v>0</v>
      </c>
      <c r="J114" s="49">
        <f>'[2]приложение 8'!G292</f>
        <v>0</v>
      </c>
      <c r="K114" s="49">
        <f>'[2]приложение 8'!J292</f>
        <v>0</v>
      </c>
      <c r="L114" s="49">
        <f>'[2]приложение 8'!J292</f>
        <v>0</v>
      </c>
      <c r="M114" s="49">
        <f>'[2]приложение 8'!K292</f>
        <v>0</v>
      </c>
      <c r="N114" s="59">
        <v>0</v>
      </c>
      <c r="O114" s="269">
        <v>0</v>
      </c>
    </row>
    <row r="115" spans="1:26" s="230" customFormat="1" ht="37.5">
      <c r="A115" s="487"/>
      <c r="B115" s="488"/>
      <c r="C115" s="45" t="s">
        <v>118</v>
      </c>
      <c r="D115" s="48" t="s">
        <v>109</v>
      </c>
      <c r="E115" s="48" t="s">
        <v>227</v>
      </c>
      <c r="F115" s="49">
        <f t="shared" si="35"/>
        <v>0</v>
      </c>
      <c r="G115" s="49">
        <v>0</v>
      </c>
      <c r="H115" s="49">
        <v>0</v>
      </c>
      <c r="I115" s="49">
        <v>0</v>
      </c>
      <c r="J115" s="49">
        <f>'[2]приложение 8'!G293</f>
        <v>0</v>
      </c>
      <c r="K115" s="49">
        <v>0</v>
      </c>
      <c r="L115" s="49">
        <v>0</v>
      </c>
      <c r="M115" s="49">
        <v>0</v>
      </c>
      <c r="N115" s="59">
        <v>0</v>
      </c>
      <c r="O115" s="269">
        <v>0</v>
      </c>
      <c r="Q115" s="231"/>
      <c r="R115" s="231"/>
      <c r="S115" s="255"/>
      <c r="T115" s="231"/>
      <c r="U115" s="231"/>
      <c r="V115" s="231"/>
      <c r="W115" s="231"/>
      <c r="X115" s="231"/>
      <c r="Y115" s="231"/>
      <c r="Z115" s="231"/>
    </row>
    <row r="116" spans="1:26" s="230" customFormat="1" ht="56.25">
      <c r="A116" s="487"/>
      <c r="B116" s="488"/>
      <c r="C116" s="45" t="s">
        <v>119</v>
      </c>
      <c r="D116" s="48"/>
      <c r="E116" s="48"/>
      <c r="F116" s="49">
        <f t="shared" si="35"/>
        <v>0</v>
      </c>
      <c r="G116" s="49">
        <v>0</v>
      </c>
      <c r="H116" s="49">
        <v>0</v>
      </c>
      <c r="I116" s="49">
        <v>0</v>
      </c>
      <c r="J116" s="49">
        <f>'[2]приложение 8'!G294</f>
        <v>0</v>
      </c>
      <c r="K116" s="49">
        <f>'[2]приложение 8'!I294</f>
        <v>0</v>
      </c>
      <c r="L116" s="49">
        <f>'[2]приложение 8'!J294</f>
        <v>0</v>
      </c>
      <c r="M116" s="49">
        <f>'[2]приложение 8'!K294</f>
        <v>0</v>
      </c>
      <c r="N116" s="59">
        <v>0</v>
      </c>
      <c r="O116" s="269">
        <v>0</v>
      </c>
      <c r="Q116" s="231"/>
      <c r="R116" s="231"/>
      <c r="S116" s="255"/>
      <c r="T116" s="231"/>
      <c r="U116" s="231"/>
      <c r="V116" s="231"/>
      <c r="W116" s="231"/>
      <c r="X116" s="231"/>
      <c r="Y116" s="231"/>
      <c r="Z116" s="231"/>
    </row>
    <row r="117" spans="1:26" s="230" customFormat="1" ht="56.25">
      <c r="A117" s="487"/>
      <c r="B117" s="488"/>
      <c r="C117" s="45" t="s">
        <v>120</v>
      </c>
      <c r="D117" s="48"/>
      <c r="E117" s="48"/>
      <c r="F117" s="49">
        <f t="shared" si="35"/>
        <v>0</v>
      </c>
      <c r="G117" s="49">
        <f>'[2]приложение 8'!D295</f>
        <v>0</v>
      </c>
      <c r="H117" s="49">
        <f>'[2]приложение 8'!E295</f>
        <v>0</v>
      </c>
      <c r="I117" s="49">
        <f>'[2]приложение 8'!F295</f>
        <v>0</v>
      </c>
      <c r="J117" s="49">
        <f>'[2]приложение 8'!G295</f>
        <v>0</v>
      </c>
      <c r="K117" s="49">
        <f>'[2]приложение 8'!J295</f>
        <v>0</v>
      </c>
      <c r="L117" s="49">
        <f>'[2]приложение 8'!J295</f>
        <v>0</v>
      </c>
      <c r="M117" s="49">
        <f>'[2]приложение 8'!K295</f>
        <v>0</v>
      </c>
      <c r="N117" s="59">
        <v>0</v>
      </c>
      <c r="O117" s="269">
        <v>0</v>
      </c>
      <c r="Q117" s="231"/>
      <c r="R117" s="231"/>
      <c r="S117" s="255"/>
      <c r="T117" s="231"/>
      <c r="U117" s="231"/>
      <c r="V117" s="231"/>
      <c r="W117" s="231"/>
      <c r="X117" s="231"/>
      <c r="Y117" s="231"/>
      <c r="Z117" s="231"/>
    </row>
    <row r="118" spans="1:26" s="230" customFormat="1" ht="56.25">
      <c r="A118" s="487"/>
      <c r="B118" s="488"/>
      <c r="C118" s="45" t="s">
        <v>192</v>
      </c>
      <c r="D118" s="48"/>
      <c r="E118" s="48"/>
      <c r="F118" s="49">
        <f t="shared" si="35"/>
        <v>0</v>
      </c>
      <c r="G118" s="49">
        <v>0</v>
      </c>
      <c r="H118" s="49">
        <v>0</v>
      </c>
      <c r="I118" s="49">
        <v>0</v>
      </c>
      <c r="J118" s="49">
        <v>0</v>
      </c>
      <c r="K118" s="49">
        <v>0</v>
      </c>
      <c r="L118" s="49">
        <v>0</v>
      </c>
      <c r="M118" s="49">
        <v>0</v>
      </c>
      <c r="N118" s="59">
        <v>0</v>
      </c>
      <c r="O118" s="269">
        <v>0</v>
      </c>
      <c r="Q118" s="231"/>
      <c r="R118" s="231"/>
      <c r="S118" s="255"/>
      <c r="T118" s="231"/>
      <c r="U118" s="231"/>
      <c r="V118" s="231"/>
      <c r="W118" s="231"/>
      <c r="X118" s="231"/>
      <c r="Y118" s="231"/>
      <c r="Z118" s="231"/>
    </row>
    <row r="119" spans="1:26" s="230" customFormat="1" ht="112.5">
      <c r="A119" s="487"/>
      <c r="B119" s="488"/>
      <c r="C119" s="45" t="s">
        <v>178</v>
      </c>
      <c r="D119" s="48"/>
      <c r="E119" s="48"/>
      <c r="F119" s="49">
        <f t="shared" si="35"/>
        <v>0</v>
      </c>
      <c r="G119" s="49">
        <v>0</v>
      </c>
      <c r="H119" s="49">
        <v>0</v>
      </c>
      <c r="I119" s="49">
        <v>0</v>
      </c>
      <c r="J119" s="49">
        <v>0</v>
      </c>
      <c r="K119" s="49">
        <v>0</v>
      </c>
      <c r="L119" s="49">
        <v>0</v>
      </c>
      <c r="M119" s="49">
        <v>0</v>
      </c>
      <c r="N119" s="59">
        <v>0</v>
      </c>
      <c r="O119" s="269">
        <v>0</v>
      </c>
      <c r="Q119" s="231"/>
      <c r="R119" s="231"/>
      <c r="S119" s="255"/>
      <c r="T119" s="231"/>
      <c r="U119" s="231"/>
      <c r="V119" s="231"/>
      <c r="W119" s="231"/>
      <c r="X119" s="231"/>
      <c r="Y119" s="231"/>
      <c r="Z119" s="231"/>
    </row>
    <row r="120" spans="1:26" s="230" customFormat="1" ht="37.5">
      <c r="A120" s="487" t="s">
        <v>532</v>
      </c>
      <c r="B120" s="497" t="s">
        <v>584</v>
      </c>
      <c r="C120" s="45" t="s">
        <v>116</v>
      </c>
      <c r="D120" s="42"/>
      <c r="E120" s="48"/>
      <c r="F120" s="49">
        <f t="shared" si="35"/>
        <v>4366.87</v>
      </c>
      <c r="G120" s="49">
        <f>G121+G122+G123+G124+G125+G126</f>
        <v>0</v>
      </c>
      <c r="H120" s="49">
        <f aca="true" t="shared" si="39" ref="H120:O120">H121+H122+H123+H124+H125+H126</f>
        <v>0</v>
      </c>
      <c r="I120" s="49">
        <f t="shared" si="39"/>
        <v>0</v>
      </c>
      <c r="J120" s="49">
        <f t="shared" si="39"/>
        <v>0</v>
      </c>
      <c r="K120" s="49">
        <f t="shared" si="39"/>
        <v>0</v>
      </c>
      <c r="L120" s="49">
        <f t="shared" si="39"/>
        <v>0</v>
      </c>
      <c r="M120" s="49">
        <f t="shared" si="39"/>
        <v>4366.87</v>
      </c>
      <c r="N120" s="49">
        <f>N121+N122+N123+N124+N125+N126</f>
        <v>0</v>
      </c>
      <c r="O120" s="267">
        <f t="shared" si="39"/>
        <v>0</v>
      </c>
      <c r="Q120" s="231"/>
      <c r="R120" s="231"/>
      <c r="S120" s="255"/>
      <c r="T120" s="231"/>
      <c r="U120" s="231"/>
      <c r="V120" s="231"/>
      <c r="W120" s="231"/>
      <c r="X120" s="231"/>
      <c r="Y120" s="231"/>
      <c r="Z120" s="231"/>
    </row>
    <row r="121" spans="1:26" s="230" customFormat="1" ht="56.25">
      <c r="A121" s="487"/>
      <c r="B121" s="498"/>
      <c r="C121" s="45" t="s">
        <v>117</v>
      </c>
      <c r="D121" s="42"/>
      <c r="E121" s="48"/>
      <c r="F121" s="49">
        <f t="shared" si="35"/>
        <v>0</v>
      </c>
      <c r="G121" s="49">
        <f>'[2]приложение 8'!D292</f>
        <v>0</v>
      </c>
      <c r="H121" s="49">
        <f>'[2]приложение 8'!E292</f>
        <v>0</v>
      </c>
      <c r="I121" s="49">
        <f>'[2]приложение 8'!F292</f>
        <v>0</v>
      </c>
      <c r="J121" s="49">
        <f>'[2]приложение 8'!G292</f>
        <v>0</v>
      </c>
      <c r="K121" s="49">
        <f>'[2]приложение 8'!J292</f>
        <v>0</v>
      </c>
      <c r="L121" s="49">
        <f>'[2]приложение 8'!J292</f>
        <v>0</v>
      </c>
      <c r="M121" s="49">
        <f>'[2]приложение 8'!K292</f>
        <v>0</v>
      </c>
      <c r="N121" s="59">
        <v>0</v>
      </c>
      <c r="O121" s="269">
        <v>0</v>
      </c>
      <c r="Q121" s="231"/>
      <c r="R121" s="231"/>
      <c r="S121" s="255"/>
      <c r="T121" s="231"/>
      <c r="U121" s="231"/>
      <c r="V121" s="231"/>
      <c r="W121" s="231"/>
      <c r="X121" s="231"/>
      <c r="Y121" s="231"/>
      <c r="Z121" s="231"/>
    </row>
    <row r="122" spans="1:26" s="230" customFormat="1" ht="37.5">
      <c r="A122" s="487"/>
      <c r="B122" s="498"/>
      <c r="C122" s="45" t="s">
        <v>118</v>
      </c>
      <c r="D122" s="48" t="s">
        <v>109</v>
      </c>
      <c r="E122" s="48" t="s">
        <v>227</v>
      </c>
      <c r="F122" s="49">
        <f t="shared" si="35"/>
        <v>4366.87</v>
      </c>
      <c r="G122" s="49">
        <v>0</v>
      </c>
      <c r="H122" s="49">
        <v>0</v>
      </c>
      <c r="I122" s="49">
        <v>0</v>
      </c>
      <c r="J122" s="49">
        <f>'[2]приложение 8'!G293</f>
        <v>0</v>
      </c>
      <c r="K122" s="49">
        <v>0</v>
      </c>
      <c r="L122" s="49">
        <v>0</v>
      </c>
      <c r="M122" s="296">
        <f>4366.87</f>
        <v>4366.87</v>
      </c>
      <c r="N122" s="59">
        <v>0</v>
      </c>
      <c r="O122" s="269">
        <v>0</v>
      </c>
      <c r="Q122" s="231"/>
      <c r="R122" s="231"/>
      <c r="S122" s="231"/>
      <c r="T122" s="231"/>
      <c r="U122" s="231"/>
      <c r="V122" s="231"/>
      <c r="W122" s="231"/>
      <c r="X122" s="231"/>
      <c r="Y122" s="231"/>
      <c r="Z122" s="231"/>
    </row>
    <row r="123" spans="1:26" s="230" customFormat="1" ht="56.25">
      <c r="A123" s="487"/>
      <c r="B123" s="498"/>
      <c r="C123" s="45" t="s">
        <v>119</v>
      </c>
      <c r="D123" s="48"/>
      <c r="E123" s="48"/>
      <c r="F123" s="49">
        <f t="shared" si="35"/>
        <v>0</v>
      </c>
      <c r="G123" s="49">
        <v>0</v>
      </c>
      <c r="H123" s="49">
        <v>0</v>
      </c>
      <c r="I123" s="49">
        <v>0</v>
      </c>
      <c r="J123" s="49">
        <f>'[2]приложение 8'!G294</f>
        <v>0</v>
      </c>
      <c r="K123" s="49">
        <f>'[2]приложение 8'!I294</f>
        <v>0</v>
      </c>
      <c r="L123" s="49">
        <f>'[2]приложение 8'!J294</f>
        <v>0</v>
      </c>
      <c r="M123" s="49">
        <f>'[2]приложение 8'!K294</f>
        <v>0</v>
      </c>
      <c r="N123" s="59">
        <v>0</v>
      </c>
      <c r="O123" s="269">
        <v>0</v>
      </c>
      <c r="Q123" s="256"/>
      <c r="R123" s="256"/>
      <c r="S123" s="256"/>
      <c r="T123" s="256"/>
      <c r="U123" s="256"/>
      <c r="V123" s="256"/>
      <c r="W123" s="256"/>
      <c r="X123" s="256"/>
      <c r="Y123" s="256"/>
      <c r="Z123" s="231"/>
    </row>
    <row r="124" spans="1:15" s="230" customFormat="1" ht="56.25">
      <c r="A124" s="487"/>
      <c r="B124" s="498"/>
      <c r="C124" s="45" t="s">
        <v>120</v>
      </c>
      <c r="D124" s="48"/>
      <c r="E124" s="48"/>
      <c r="F124" s="49">
        <f t="shared" si="35"/>
        <v>0</v>
      </c>
      <c r="G124" s="49">
        <f>'[2]приложение 8'!D295</f>
        <v>0</v>
      </c>
      <c r="H124" s="49">
        <f>'[2]приложение 8'!E295</f>
        <v>0</v>
      </c>
      <c r="I124" s="49">
        <f>'[2]приложение 8'!F295</f>
        <v>0</v>
      </c>
      <c r="J124" s="49">
        <f>'[2]приложение 8'!G295</f>
        <v>0</v>
      </c>
      <c r="K124" s="49">
        <f>'[2]приложение 8'!J295</f>
        <v>0</v>
      </c>
      <c r="L124" s="49">
        <f>'[2]приложение 8'!J295</f>
        <v>0</v>
      </c>
      <c r="M124" s="49">
        <f>'[2]приложение 8'!K295</f>
        <v>0</v>
      </c>
      <c r="N124" s="59">
        <v>0</v>
      </c>
      <c r="O124" s="269">
        <v>0</v>
      </c>
    </row>
    <row r="125" spans="1:15" s="230" customFormat="1" ht="56.25">
      <c r="A125" s="487"/>
      <c r="B125" s="498"/>
      <c r="C125" s="45" t="s">
        <v>192</v>
      </c>
      <c r="D125" s="48"/>
      <c r="E125" s="48"/>
      <c r="F125" s="49">
        <f t="shared" si="35"/>
        <v>0</v>
      </c>
      <c r="G125" s="49">
        <v>0</v>
      </c>
      <c r="H125" s="49">
        <v>0</v>
      </c>
      <c r="I125" s="49">
        <v>0</v>
      </c>
      <c r="J125" s="49">
        <v>0</v>
      </c>
      <c r="K125" s="49">
        <v>0</v>
      </c>
      <c r="L125" s="49">
        <v>0</v>
      </c>
      <c r="M125" s="49">
        <v>0</v>
      </c>
      <c r="N125" s="59">
        <v>0</v>
      </c>
      <c r="O125" s="269">
        <v>0</v>
      </c>
    </row>
    <row r="126" spans="1:15" s="230" customFormat="1" ht="112.5">
      <c r="A126" s="487"/>
      <c r="B126" s="499"/>
      <c r="C126" s="45" t="s">
        <v>178</v>
      </c>
      <c r="D126" s="48"/>
      <c r="E126" s="48"/>
      <c r="F126" s="49">
        <f t="shared" si="35"/>
        <v>0</v>
      </c>
      <c r="G126" s="49">
        <v>0</v>
      </c>
      <c r="H126" s="49">
        <v>0</v>
      </c>
      <c r="I126" s="49">
        <v>0</v>
      </c>
      <c r="J126" s="49">
        <v>0</v>
      </c>
      <c r="K126" s="49">
        <v>0</v>
      </c>
      <c r="L126" s="49">
        <v>0</v>
      </c>
      <c r="M126" s="49">
        <v>0</v>
      </c>
      <c r="N126" s="59">
        <v>0</v>
      </c>
      <c r="O126" s="269">
        <v>0</v>
      </c>
    </row>
    <row r="127" spans="1:15" s="230" customFormat="1" ht="37.5" customHeight="1">
      <c r="A127" s="487" t="s">
        <v>533</v>
      </c>
      <c r="B127" s="488" t="s">
        <v>654</v>
      </c>
      <c r="C127" s="45" t="s">
        <v>116</v>
      </c>
      <c r="D127" s="42"/>
      <c r="E127" s="48"/>
      <c r="F127" s="49">
        <f t="shared" si="35"/>
        <v>105796.81446090908</v>
      </c>
      <c r="G127" s="49">
        <f aca="true" t="shared" si="40" ref="G127:G133">G134+G148</f>
        <v>0</v>
      </c>
      <c r="H127" s="49">
        <f>H134+H148</f>
        <v>0</v>
      </c>
      <c r="I127" s="49">
        <f>I134+I148</f>
        <v>0</v>
      </c>
      <c r="J127" s="49">
        <f>J134+J148</f>
        <v>0</v>
      </c>
      <c r="K127" s="49">
        <f>K134+K148</f>
        <v>0</v>
      </c>
      <c r="L127" s="49">
        <f>L128+L129+L130</f>
        <v>59145.64274090909</v>
      </c>
      <c r="M127" s="49">
        <f>M128+M129+M130</f>
        <v>14213.89474</v>
      </c>
      <c r="N127" s="49">
        <f>N128+N129+N130</f>
        <v>8859.368419999999</v>
      </c>
      <c r="O127" s="49">
        <f>O128+O129+O130</f>
        <v>23577.90856</v>
      </c>
    </row>
    <row r="128" spans="1:15" s="230" customFormat="1" ht="56.25">
      <c r="A128" s="487"/>
      <c r="B128" s="488"/>
      <c r="C128" s="45" t="s">
        <v>117</v>
      </c>
      <c r="D128" s="42"/>
      <c r="E128" s="48"/>
      <c r="F128" s="49">
        <f t="shared" si="35"/>
        <v>103110</v>
      </c>
      <c r="G128" s="49">
        <f t="shared" si="40"/>
        <v>0</v>
      </c>
      <c r="H128" s="49">
        <f aca="true" t="shared" si="41" ref="H128:K133">H135+H149</f>
        <v>0</v>
      </c>
      <c r="I128" s="49">
        <f t="shared" si="41"/>
        <v>0</v>
      </c>
      <c r="J128" s="49">
        <f t="shared" si="41"/>
        <v>0</v>
      </c>
      <c r="K128" s="49">
        <f t="shared" si="41"/>
        <v>0</v>
      </c>
      <c r="L128" s="49">
        <f>L135+L142+L149</f>
        <v>58201.9</v>
      </c>
      <c r="M128" s="49">
        <f>M135+M142+M149</f>
        <v>13503.2</v>
      </c>
      <c r="N128" s="49">
        <f>N135+N142+N149</f>
        <v>8416.4</v>
      </c>
      <c r="O128" s="49">
        <f>O135+O142+O149</f>
        <v>22988.5</v>
      </c>
    </row>
    <row r="129" spans="1:15" s="230" customFormat="1" ht="37.5">
      <c r="A129" s="487"/>
      <c r="B129" s="488"/>
      <c r="C129" s="45" t="s">
        <v>118</v>
      </c>
      <c r="D129" s="48" t="s">
        <v>109</v>
      </c>
      <c r="E129" s="48" t="s">
        <v>227</v>
      </c>
      <c r="F129" s="49">
        <f t="shared" si="35"/>
        <v>2595.9053700000013</v>
      </c>
      <c r="G129" s="49">
        <f t="shared" si="40"/>
        <v>0</v>
      </c>
      <c r="H129" s="49">
        <f t="shared" si="41"/>
        <v>0</v>
      </c>
      <c r="I129" s="49">
        <f t="shared" si="41"/>
        <v>0</v>
      </c>
      <c r="J129" s="49">
        <f t="shared" si="41"/>
        <v>0</v>
      </c>
      <c r="K129" s="49">
        <f t="shared" si="41"/>
        <v>0</v>
      </c>
      <c r="L129" s="49">
        <f>L136+L150+L143</f>
        <v>852.83365</v>
      </c>
      <c r="M129" s="49">
        <f>M136+M150+M143</f>
        <v>710.6947399999999</v>
      </c>
      <c r="N129" s="49">
        <f>N136+N150+N143</f>
        <v>442.96842</v>
      </c>
      <c r="O129" s="268">
        <f>O136+O150+O143</f>
        <v>589.408560000001</v>
      </c>
    </row>
    <row r="130" spans="1:17" s="230" customFormat="1" ht="56.25">
      <c r="A130" s="487"/>
      <c r="B130" s="488"/>
      <c r="C130" s="45" t="s">
        <v>119</v>
      </c>
      <c r="D130" s="48"/>
      <c r="E130" s="48"/>
      <c r="F130" s="49">
        <f t="shared" si="35"/>
        <v>90.9090909090909</v>
      </c>
      <c r="G130" s="49">
        <f t="shared" si="40"/>
        <v>0</v>
      </c>
      <c r="H130" s="49">
        <f t="shared" si="41"/>
        <v>0</v>
      </c>
      <c r="I130" s="49">
        <f t="shared" si="41"/>
        <v>0</v>
      </c>
      <c r="J130" s="49">
        <f t="shared" si="41"/>
        <v>0</v>
      </c>
      <c r="K130" s="49">
        <f t="shared" si="41"/>
        <v>0</v>
      </c>
      <c r="L130" s="49">
        <f aca="true" t="shared" si="42" ref="L130:O133">L137+L151</f>
        <v>90.9090909090909</v>
      </c>
      <c r="M130" s="49">
        <f t="shared" si="42"/>
        <v>0</v>
      </c>
      <c r="N130" s="49">
        <f>N137+N151</f>
        <v>0</v>
      </c>
      <c r="O130" s="268">
        <f t="shared" si="42"/>
        <v>0</v>
      </c>
      <c r="Q130" s="230" t="s">
        <v>568</v>
      </c>
    </row>
    <row r="131" spans="1:15" s="230" customFormat="1" ht="56.25">
      <c r="A131" s="487"/>
      <c r="B131" s="488"/>
      <c r="C131" s="45" t="s">
        <v>120</v>
      </c>
      <c r="D131" s="48"/>
      <c r="E131" s="48"/>
      <c r="F131" s="49">
        <f t="shared" si="35"/>
        <v>0</v>
      </c>
      <c r="G131" s="49">
        <f t="shared" si="40"/>
        <v>0</v>
      </c>
      <c r="H131" s="49">
        <f t="shared" si="41"/>
        <v>0</v>
      </c>
      <c r="I131" s="49">
        <f t="shared" si="41"/>
        <v>0</v>
      </c>
      <c r="J131" s="49">
        <f t="shared" si="41"/>
        <v>0</v>
      </c>
      <c r="K131" s="49">
        <f t="shared" si="41"/>
        <v>0</v>
      </c>
      <c r="L131" s="49">
        <f t="shared" si="42"/>
        <v>0</v>
      </c>
      <c r="M131" s="49">
        <f t="shared" si="42"/>
        <v>0</v>
      </c>
      <c r="N131" s="49">
        <f>N138+N152</f>
        <v>0</v>
      </c>
      <c r="O131" s="268">
        <f t="shared" si="42"/>
        <v>0</v>
      </c>
    </row>
    <row r="132" spans="1:15" s="230" customFormat="1" ht="56.25">
      <c r="A132" s="487"/>
      <c r="B132" s="488"/>
      <c r="C132" s="45" t="s">
        <v>192</v>
      </c>
      <c r="D132" s="48"/>
      <c r="E132" s="48"/>
      <c r="F132" s="49">
        <f t="shared" si="35"/>
        <v>0</v>
      </c>
      <c r="G132" s="49">
        <f t="shared" si="40"/>
        <v>0</v>
      </c>
      <c r="H132" s="49">
        <f t="shared" si="41"/>
        <v>0</v>
      </c>
      <c r="I132" s="49">
        <f t="shared" si="41"/>
        <v>0</v>
      </c>
      <c r="J132" s="49">
        <f t="shared" si="41"/>
        <v>0</v>
      </c>
      <c r="K132" s="49">
        <f t="shared" si="41"/>
        <v>0</v>
      </c>
      <c r="L132" s="49">
        <f t="shared" si="42"/>
        <v>0</v>
      </c>
      <c r="M132" s="49">
        <f t="shared" si="42"/>
        <v>0</v>
      </c>
      <c r="N132" s="49">
        <f>N139+N153</f>
        <v>0</v>
      </c>
      <c r="O132" s="268">
        <f t="shared" si="42"/>
        <v>0</v>
      </c>
    </row>
    <row r="133" spans="1:15" s="230" customFormat="1" ht="112.5">
      <c r="A133" s="487"/>
      <c r="B133" s="488"/>
      <c r="C133" s="45" t="s">
        <v>178</v>
      </c>
      <c r="D133" s="48"/>
      <c r="E133" s="48"/>
      <c r="F133" s="49">
        <f t="shared" si="35"/>
        <v>0</v>
      </c>
      <c r="G133" s="49">
        <f t="shared" si="40"/>
        <v>0</v>
      </c>
      <c r="H133" s="49">
        <f t="shared" si="41"/>
        <v>0</v>
      </c>
      <c r="I133" s="49">
        <f t="shared" si="41"/>
        <v>0</v>
      </c>
      <c r="J133" s="49">
        <f t="shared" si="41"/>
        <v>0</v>
      </c>
      <c r="K133" s="49">
        <f t="shared" si="41"/>
        <v>0</v>
      </c>
      <c r="L133" s="49">
        <f t="shared" si="42"/>
        <v>0</v>
      </c>
      <c r="M133" s="49">
        <f t="shared" si="42"/>
        <v>0</v>
      </c>
      <c r="N133" s="49">
        <f>N140+N154</f>
        <v>0</v>
      </c>
      <c r="O133" s="268">
        <f t="shared" si="42"/>
        <v>0</v>
      </c>
    </row>
    <row r="134" spans="1:15" s="230" customFormat="1" ht="37.5">
      <c r="A134" s="487" t="s">
        <v>589</v>
      </c>
      <c r="B134" s="488" t="s">
        <v>599</v>
      </c>
      <c r="C134" s="45" t="s">
        <v>116</v>
      </c>
      <c r="D134" s="48"/>
      <c r="E134" s="48"/>
      <c r="F134" s="49">
        <f t="shared" si="35"/>
        <v>67325.6565709091</v>
      </c>
      <c r="G134" s="49">
        <f>SUM(G135:G140)</f>
        <v>0</v>
      </c>
      <c r="H134" s="49">
        <f aca="true" t="shared" si="43" ref="H134:O134">SUM(H135:H140)</f>
        <v>0</v>
      </c>
      <c r="I134" s="49">
        <f t="shared" si="43"/>
        <v>0</v>
      </c>
      <c r="J134" s="49">
        <f t="shared" si="43"/>
        <v>0</v>
      </c>
      <c r="K134" s="49">
        <f t="shared" si="43"/>
        <v>0</v>
      </c>
      <c r="L134" s="49">
        <f t="shared" si="43"/>
        <v>52588.48485090909</v>
      </c>
      <c r="M134" s="49">
        <f t="shared" si="43"/>
        <v>0</v>
      </c>
      <c r="N134" s="49">
        <f>SUM(N135:N140)</f>
        <v>0</v>
      </c>
      <c r="O134" s="268">
        <f t="shared" si="43"/>
        <v>14737.17172</v>
      </c>
    </row>
    <row r="135" spans="1:15" s="230" customFormat="1" ht="56.25">
      <c r="A135" s="487"/>
      <c r="B135" s="488"/>
      <c r="C135" s="45" t="s">
        <v>117</v>
      </c>
      <c r="D135" s="48"/>
      <c r="E135" s="48"/>
      <c r="F135" s="49">
        <f t="shared" si="35"/>
        <v>66562.4</v>
      </c>
      <c r="G135" s="49">
        <v>0</v>
      </c>
      <c r="H135" s="49">
        <v>0</v>
      </c>
      <c r="I135" s="49">
        <v>0</v>
      </c>
      <c r="J135" s="49">
        <v>0</v>
      </c>
      <c r="K135" s="49">
        <v>0</v>
      </c>
      <c r="L135" s="49">
        <v>51972.6</v>
      </c>
      <c r="M135" s="49">
        <v>0</v>
      </c>
      <c r="N135" s="59">
        <v>0</v>
      </c>
      <c r="O135" s="269">
        <v>14589.8</v>
      </c>
    </row>
    <row r="136" spans="1:15" s="230" customFormat="1" ht="37.5">
      <c r="A136" s="487"/>
      <c r="B136" s="488"/>
      <c r="C136" s="45" t="s">
        <v>118</v>
      </c>
      <c r="D136" s="48"/>
      <c r="E136" s="48"/>
      <c r="F136" s="49">
        <f t="shared" si="35"/>
        <v>672.347480000001</v>
      </c>
      <c r="G136" s="49">
        <v>0</v>
      </c>
      <c r="H136" s="49">
        <v>0</v>
      </c>
      <c r="I136" s="49">
        <v>0</v>
      </c>
      <c r="J136" s="49">
        <v>0</v>
      </c>
      <c r="K136" s="49">
        <v>0</v>
      </c>
      <c r="L136" s="49">
        <f>524.97576</f>
        <v>524.97576</v>
      </c>
      <c r="M136" s="49">
        <v>0</v>
      </c>
      <c r="N136" s="59">
        <v>0</v>
      </c>
      <c r="O136" s="269">
        <f>14737.17172-O135</f>
        <v>147.371720000001</v>
      </c>
    </row>
    <row r="137" spans="1:15" s="230" customFormat="1" ht="56.25">
      <c r="A137" s="487"/>
      <c r="B137" s="488"/>
      <c r="C137" s="45" t="s">
        <v>119</v>
      </c>
      <c r="D137" s="48"/>
      <c r="E137" s="48"/>
      <c r="F137" s="49">
        <f t="shared" si="35"/>
        <v>90.9090909090909</v>
      </c>
      <c r="G137" s="49">
        <v>0</v>
      </c>
      <c r="H137" s="49">
        <v>0</v>
      </c>
      <c r="I137" s="49">
        <v>0</v>
      </c>
      <c r="J137" s="49">
        <v>0</v>
      </c>
      <c r="K137" s="49">
        <v>0</v>
      </c>
      <c r="L137" s="49">
        <f>9000/99</f>
        <v>90.9090909090909</v>
      </c>
      <c r="M137" s="49">
        <v>0</v>
      </c>
      <c r="N137" s="59">
        <v>0</v>
      </c>
      <c r="O137" s="269">
        <v>0</v>
      </c>
    </row>
    <row r="138" spans="1:15" s="230" customFormat="1" ht="56.25">
      <c r="A138" s="487"/>
      <c r="B138" s="488"/>
      <c r="C138" s="45" t="s">
        <v>120</v>
      </c>
      <c r="D138" s="48"/>
      <c r="E138" s="48"/>
      <c r="F138" s="49">
        <f t="shared" si="35"/>
        <v>0</v>
      </c>
      <c r="G138" s="49">
        <v>0</v>
      </c>
      <c r="H138" s="49">
        <v>0</v>
      </c>
      <c r="I138" s="49">
        <v>0</v>
      </c>
      <c r="J138" s="49">
        <v>0</v>
      </c>
      <c r="K138" s="49">
        <v>0</v>
      </c>
      <c r="L138" s="49">
        <v>0</v>
      </c>
      <c r="M138" s="49">
        <v>0</v>
      </c>
      <c r="N138" s="59">
        <v>0</v>
      </c>
      <c r="O138" s="269">
        <v>0</v>
      </c>
    </row>
    <row r="139" spans="1:15" s="230" customFormat="1" ht="56.25">
      <c r="A139" s="487"/>
      <c r="B139" s="488"/>
      <c r="C139" s="45" t="s">
        <v>192</v>
      </c>
      <c r="D139" s="48"/>
      <c r="E139" s="48"/>
      <c r="F139" s="49">
        <f t="shared" si="35"/>
        <v>0</v>
      </c>
      <c r="G139" s="49">
        <v>0</v>
      </c>
      <c r="H139" s="49">
        <v>0</v>
      </c>
      <c r="I139" s="49">
        <v>0</v>
      </c>
      <c r="J139" s="49">
        <v>0</v>
      </c>
      <c r="K139" s="49">
        <v>0</v>
      </c>
      <c r="L139" s="49">
        <v>0</v>
      </c>
      <c r="M139" s="49">
        <v>0</v>
      </c>
      <c r="N139" s="59">
        <v>0</v>
      </c>
      <c r="O139" s="269">
        <v>0</v>
      </c>
    </row>
    <row r="140" spans="1:15" s="230" customFormat="1" ht="112.5">
      <c r="A140" s="487"/>
      <c r="B140" s="488"/>
      <c r="C140" s="45" t="s">
        <v>178</v>
      </c>
      <c r="D140" s="48"/>
      <c r="E140" s="48"/>
      <c r="F140" s="49">
        <f t="shared" si="35"/>
        <v>0</v>
      </c>
      <c r="G140" s="49">
        <v>0</v>
      </c>
      <c r="H140" s="49">
        <v>0</v>
      </c>
      <c r="I140" s="49">
        <v>0</v>
      </c>
      <c r="J140" s="49">
        <v>0</v>
      </c>
      <c r="K140" s="49">
        <v>0</v>
      </c>
      <c r="L140" s="49">
        <v>0</v>
      </c>
      <c r="M140" s="49">
        <v>0</v>
      </c>
      <c r="N140" s="59">
        <v>0</v>
      </c>
      <c r="O140" s="269">
        <v>0</v>
      </c>
    </row>
    <row r="141" spans="1:15" s="230" customFormat="1" ht="37.5">
      <c r="A141" s="487" t="s">
        <v>590</v>
      </c>
      <c r="B141" s="488" t="s">
        <v>611</v>
      </c>
      <c r="C141" s="45" t="s">
        <v>116</v>
      </c>
      <c r="D141" s="48"/>
      <c r="E141" s="48"/>
      <c r="F141" s="49">
        <f t="shared" si="35"/>
        <v>33116.63157</v>
      </c>
      <c r="G141" s="49">
        <f aca="true" t="shared" si="44" ref="G141:O141">SUM(G142:G147)</f>
        <v>0</v>
      </c>
      <c r="H141" s="49">
        <f t="shared" si="44"/>
        <v>0</v>
      </c>
      <c r="I141" s="49">
        <f t="shared" si="44"/>
        <v>0</v>
      </c>
      <c r="J141" s="49">
        <f t="shared" si="44"/>
        <v>0</v>
      </c>
      <c r="K141" s="49">
        <f t="shared" si="44"/>
        <v>0</v>
      </c>
      <c r="L141" s="49">
        <f t="shared" si="44"/>
        <v>6557.15789</v>
      </c>
      <c r="M141" s="49">
        <f t="shared" si="44"/>
        <v>8859.368419999999</v>
      </c>
      <c r="N141" s="49">
        <f>SUM(N142:N147)</f>
        <v>8859.368419999999</v>
      </c>
      <c r="O141" s="268">
        <f t="shared" si="44"/>
        <v>8840.736840000001</v>
      </c>
    </row>
    <row r="142" spans="1:15" s="230" customFormat="1" ht="56.25">
      <c r="A142" s="487"/>
      <c r="B142" s="488"/>
      <c r="C142" s="45" t="s">
        <v>117</v>
      </c>
      <c r="D142" s="48"/>
      <c r="E142" s="48"/>
      <c r="F142" s="49">
        <f t="shared" si="35"/>
        <v>31460.800000000003</v>
      </c>
      <c r="G142" s="49">
        <v>0</v>
      </c>
      <c r="H142" s="49">
        <v>0</v>
      </c>
      <c r="I142" s="49">
        <v>0</v>
      </c>
      <c r="J142" s="49">
        <v>0</v>
      </c>
      <c r="K142" s="49">
        <v>0</v>
      </c>
      <c r="L142" s="49">
        <v>6229.3</v>
      </c>
      <c r="M142" s="85">
        <f>1000+7416.4</f>
        <v>8416.4</v>
      </c>
      <c r="N142" s="49">
        <f>1000+7416.4</f>
        <v>8416.4</v>
      </c>
      <c r="O142" s="268">
        <f>1500+6898.7</f>
        <v>8398.7</v>
      </c>
    </row>
    <row r="143" spans="1:15" s="230" customFormat="1" ht="37.5">
      <c r="A143" s="487"/>
      <c r="B143" s="488"/>
      <c r="C143" s="45" t="s">
        <v>118</v>
      </c>
      <c r="D143" s="48"/>
      <c r="E143" s="48"/>
      <c r="F143" s="49">
        <f t="shared" si="35"/>
        <v>1655.8315699999998</v>
      </c>
      <c r="G143" s="49">
        <v>0</v>
      </c>
      <c r="H143" s="49">
        <v>0</v>
      </c>
      <c r="I143" s="49">
        <v>0</v>
      </c>
      <c r="J143" s="49">
        <v>0</v>
      </c>
      <c r="K143" s="49">
        <v>0</v>
      </c>
      <c r="L143" s="49">
        <f>327.85789</f>
        <v>327.85789</v>
      </c>
      <c r="M143" s="85">
        <f>52.63158+390.33684</f>
        <v>442.96842</v>
      </c>
      <c r="N143" s="49">
        <f>52.63158+390.33684</f>
        <v>442.96842</v>
      </c>
      <c r="O143" s="268">
        <f>78.94737+363.08947</f>
        <v>442.03684</v>
      </c>
    </row>
    <row r="144" spans="1:15" s="230" customFormat="1" ht="56.25">
      <c r="A144" s="487"/>
      <c r="B144" s="488"/>
      <c r="C144" s="45" t="s">
        <v>119</v>
      </c>
      <c r="D144" s="48"/>
      <c r="E144" s="48"/>
      <c r="F144" s="49">
        <f t="shared" si="35"/>
        <v>0</v>
      </c>
      <c r="G144" s="49">
        <v>0</v>
      </c>
      <c r="H144" s="49">
        <v>0</v>
      </c>
      <c r="I144" s="49">
        <v>0</v>
      </c>
      <c r="J144" s="49">
        <v>0</v>
      </c>
      <c r="K144" s="49">
        <v>0</v>
      </c>
      <c r="L144" s="49">
        <v>0</v>
      </c>
      <c r="M144" s="49">
        <v>0</v>
      </c>
      <c r="N144" s="49">
        <v>0</v>
      </c>
      <c r="O144" s="268">
        <v>0</v>
      </c>
    </row>
    <row r="145" spans="1:15" s="230" customFormat="1" ht="56.25">
      <c r="A145" s="487"/>
      <c r="B145" s="488"/>
      <c r="C145" s="45" t="s">
        <v>120</v>
      </c>
      <c r="D145" s="48"/>
      <c r="E145" s="48"/>
      <c r="F145" s="49">
        <f t="shared" si="35"/>
        <v>0</v>
      </c>
      <c r="G145" s="49">
        <v>0</v>
      </c>
      <c r="H145" s="49">
        <v>0</v>
      </c>
      <c r="I145" s="49">
        <v>0</v>
      </c>
      <c r="J145" s="49">
        <v>0</v>
      </c>
      <c r="K145" s="49">
        <v>0</v>
      </c>
      <c r="L145" s="49">
        <v>0</v>
      </c>
      <c r="M145" s="49">
        <v>0</v>
      </c>
      <c r="N145" s="49">
        <v>0</v>
      </c>
      <c r="O145" s="268">
        <v>0</v>
      </c>
    </row>
    <row r="146" spans="1:15" s="230" customFormat="1" ht="56.25">
      <c r="A146" s="487"/>
      <c r="B146" s="488"/>
      <c r="C146" s="45" t="s">
        <v>192</v>
      </c>
      <c r="D146" s="48"/>
      <c r="E146" s="48"/>
      <c r="F146" s="49">
        <f t="shared" si="35"/>
        <v>0</v>
      </c>
      <c r="G146" s="49">
        <v>0</v>
      </c>
      <c r="H146" s="49">
        <v>0</v>
      </c>
      <c r="I146" s="49">
        <v>0</v>
      </c>
      <c r="J146" s="49">
        <v>0</v>
      </c>
      <c r="K146" s="49">
        <v>0</v>
      </c>
      <c r="L146" s="49">
        <v>0</v>
      </c>
      <c r="M146" s="49">
        <v>0</v>
      </c>
      <c r="N146" s="49">
        <v>0</v>
      </c>
      <c r="O146" s="268">
        <v>0</v>
      </c>
    </row>
    <row r="147" spans="1:15" s="230" customFormat="1" ht="112.5">
      <c r="A147" s="487"/>
      <c r="B147" s="488"/>
      <c r="C147" s="45" t="s">
        <v>178</v>
      </c>
      <c r="D147" s="48"/>
      <c r="E147" s="48"/>
      <c r="F147" s="49">
        <f t="shared" si="35"/>
        <v>0</v>
      </c>
      <c r="G147" s="49">
        <v>0</v>
      </c>
      <c r="H147" s="49">
        <v>0</v>
      </c>
      <c r="I147" s="49">
        <v>0</v>
      </c>
      <c r="J147" s="49">
        <v>0</v>
      </c>
      <c r="K147" s="49">
        <v>0</v>
      </c>
      <c r="L147" s="49">
        <v>0</v>
      </c>
      <c r="M147" s="49">
        <v>0</v>
      </c>
      <c r="N147" s="49">
        <v>0</v>
      </c>
      <c r="O147" s="268">
        <v>0</v>
      </c>
    </row>
    <row r="148" spans="1:15" s="230" customFormat="1" ht="37.5">
      <c r="A148" s="487" t="s">
        <v>609</v>
      </c>
      <c r="B148" s="488" t="s">
        <v>610</v>
      </c>
      <c r="C148" s="45" t="s">
        <v>116</v>
      </c>
      <c r="D148" s="48"/>
      <c r="E148" s="48"/>
      <c r="F148" s="49">
        <f t="shared" si="35"/>
        <v>5354.52632</v>
      </c>
      <c r="G148" s="49">
        <f aca="true" t="shared" si="45" ref="G148:O148">SUM(G149:G154)</f>
        <v>0</v>
      </c>
      <c r="H148" s="49">
        <f t="shared" si="45"/>
        <v>0</v>
      </c>
      <c r="I148" s="49">
        <f t="shared" si="45"/>
        <v>0</v>
      </c>
      <c r="J148" s="49">
        <f t="shared" si="45"/>
        <v>0</v>
      </c>
      <c r="K148" s="49">
        <f t="shared" si="45"/>
        <v>0</v>
      </c>
      <c r="L148" s="49">
        <f t="shared" si="45"/>
        <v>0</v>
      </c>
      <c r="M148" s="49">
        <f t="shared" si="45"/>
        <v>5354.52632</v>
      </c>
      <c r="N148" s="49">
        <f>SUM(N149:N154)</f>
        <v>0</v>
      </c>
      <c r="O148" s="268">
        <f t="shared" si="45"/>
        <v>0</v>
      </c>
    </row>
    <row r="149" spans="1:15" s="230" customFormat="1" ht="56.25">
      <c r="A149" s="487"/>
      <c r="B149" s="488"/>
      <c r="C149" s="45" t="s">
        <v>117</v>
      </c>
      <c r="D149" s="48" t="s">
        <v>109</v>
      </c>
      <c r="E149" s="48"/>
      <c r="F149" s="49">
        <f t="shared" si="35"/>
        <v>5086.8</v>
      </c>
      <c r="G149" s="49">
        <v>0</v>
      </c>
      <c r="H149" s="49">
        <v>0</v>
      </c>
      <c r="I149" s="49">
        <v>0</v>
      </c>
      <c r="J149" s="49">
        <v>0</v>
      </c>
      <c r="K149" s="49">
        <v>0</v>
      </c>
      <c r="L149" s="49">
        <v>0</v>
      </c>
      <c r="M149" s="85">
        <v>5086.8</v>
      </c>
      <c r="N149" s="49">
        <v>0</v>
      </c>
      <c r="O149" s="268">
        <v>0</v>
      </c>
    </row>
    <row r="150" spans="1:15" s="230" customFormat="1" ht="37.5">
      <c r="A150" s="487"/>
      <c r="B150" s="488"/>
      <c r="C150" s="45" t="s">
        <v>118</v>
      </c>
      <c r="D150" s="48" t="s">
        <v>109</v>
      </c>
      <c r="E150" s="48"/>
      <c r="F150" s="49">
        <f t="shared" si="35"/>
        <v>267.72632</v>
      </c>
      <c r="G150" s="49">
        <v>0</v>
      </c>
      <c r="H150" s="49">
        <v>0</v>
      </c>
      <c r="I150" s="49">
        <v>0</v>
      </c>
      <c r="J150" s="49">
        <v>0</v>
      </c>
      <c r="K150" s="49">
        <v>0</v>
      </c>
      <c r="L150" s="49">
        <v>0</v>
      </c>
      <c r="M150" s="296">
        <v>267.72632</v>
      </c>
      <c r="N150" s="49">
        <v>0</v>
      </c>
      <c r="O150" s="268">
        <v>0</v>
      </c>
    </row>
    <row r="151" spans="1:15" s="230" customFormat="1" ht="56.25">
      <c r="A151" s="487"/>
      <c r="B151" s="488"/>
      <c r="C151" s="45" t="s">
        <v>119</v>
      </c>
      <c r="D151" s="48"/>
      <c r="E151" s="48"/>
      <c r="F151" s="49">
        <f t="shared" si="35"/>
        <v>0</v>
      </c>
      <c r="G151" s="49">
        <v>0</v>
      </c>
      <c r="H151" s="49">
        <v>0</v>
      </c>
      <c r="I151" s="49">
        <v>0</v>
      </c>
      <c r="J151" s="49">
        <v>0</v>
      </c>
      <c r="K151" s="49">
        <v>0</v>
      </c>
      <c r="L151" s="49">
        <v>0</v>
      </c>
      <c r="M151" s="49">
        <v>0</v>
      </c>
      <c r="N151" s="49">
        <v>0</v>
      </c>
      <c r="O151" s="268">
        <v>0</v>
      </c>
    </row>
    <row r="152" spans="1:15" s="230" customFormat="1" ht="56.25">
      <c r="A152" s="487"/>
      <c r="B152" s="488"/>
      <c r="C152" s="45" t="s">
        <v>120</v>
      </c>
      <c r="D152" s="48"/>
      <c r="E152" s="48"/>
      <c r="F152" s="49">
        <f t="shared" si="35"/>
        <v>0</v>
      </c>
      <c r="G152" s="49">
        <v>0</v>
      </c>
      <c r="H152" s="49">
        <v>0</v>
      </c>
      <c r="I152" s="49">
        <v>0</v>
      </c>
      <c r="J152" s="49">
        <v>0</v>
      </c>
      <c r="K152" s="49">
        <v>0</v>
      </c>
      <c r="L152" s="49">
        <v>0</v>
      </c>
      <c r="M152" s="49">
        <v>0</v>
      </c>
      <c r="N152" s="49">
        <v>0</v>
      </c>
      <c r="O152" s="268">
        <v>0</v>
      </c>
    </row>
    <row r="153" spans="1:15" s="230" customFormat="1" ht="56.25">
      <c r="A153" s="487"/>
      <c r="B153" s="488"/>
      <c r="C153" s="45" t="s">
        <v>192</v>
      </c>
      <c r="D153" s="48"/>
      <c r="E153" s="48"/>
      <c r="F153" s="49">
        <f t="shared" si="35"/>
        <v>0</v>
      </c>
      <c r="G153" s="49">
        <v>0</v>
      </c>
      <c r="H153" s="49">
        <v>0</v>
      </c>
      <c r="I153" s="49">
        <v>0</v>
      </c>
      <c r="J153" s="49">
        <v>0</v>
      </c>
      <c r="K153" s="49">
        <v>0</v>
      </c>
      <c r="L153" s="49">
        <v>0</v>
      </c>
      <c r="M153" s="49">
        <v>0</v>
      </c>
      <c r="N153" s="49">
        <v>0</v>
      </c>
      <c r="O153" s="268">
        <v>0</v>
      </c>
    </row>
    <row r="154" spans="1:15" s="230" customFormat="1" ht="112.5">
      <c r="A154" s="487"/>
      <c r="B154" s="488"/>
      <c r="C154" s="45" t="s">
        <v>178</v>
      </c>
      <c r="D154" s="48"/>
      <c r="E154" s="48"/>
      <c r="F154" s="49">
        <f t="shared" si="35"/>
        <v>0</v>
      </c>
      <c r="G154" s="49">
        <v>0</v>
      </c>
      <c r="H154" s="49">
        <v>0</v>
      </c>
      <c r="I154" s="49">
        <v>0</v>
      </c>
      <c r="J154" s="49">
        <v>0</v>
      </c>
      <c r="K154" s="49">
        <v>0</v>
      </c>
      <c r="L154" s="49">
        <v>0</v>
      </c>
      <c r="M154" s="49">
        <v>0</v>
      </c>
      <c r="N154" s="49">
        <v>0</v>
      </c>
      <c r="O154" s="268">
        <v>0</v>
      </c>
    </row>
    <row r="155" spans="1:15" s="230" customFormat="1" ht="37.5">
      <c r="A155" s="487" t="s">
        <v>77</v>
      </c>
      <c r="B155" s="488" t="s">
        <v>78</v>
      </c>
      <c r="C155" s="45" t="s">
        <v>116</v>
      </c>
      <c r="D155" s="42"/>
      <c r="E155" s="48"/>
      <c r="F155" s="49">
        <f t="shared" si="35"/>
        <v>409115.22854</v>
      </c>
      <c r="G155" s="49">
        <f>G156+G158+G160+G161+G162+G163</f>
        <v>54845.46974</v>
      </c>
      <c r="H155" s="49">
        <f>H156+H158+H160+H161+H162+H163+H159</f>
        <v>50287.36483</v>
      </c>
      <c r="I155" s="49">
        <f>I156+I158+I160+I161+I162+I163+I159</f>
        <v>44493.9</v>
      </c>
      <c r="J155" s="49">
        <f>J156+J158+J160+J161+J162+J163+J159</f>
        <v>44108.68649</v>
      </c>
      <c r="K155" s="49">
        <f>K156+K158+K160+K161+K162+K163+K159</f>
        <v>39682.24948</v>
      </c>
      <c r="L155" s="49">
        <f>L156+L157+L158+L159</f>
        <v>40704.157999999996</v>
      </c>
      <c r="M155" s="49">
        <f>M156+M157+M158+M159</f>
        <v>44864.6</v>
      </c>
      <c r="N155" s="49">
        <f>N156+N157+N158+N159</f>
        <v>45138</v>
      </c>
      <c r="O155" s="49">
        <f>O156+O157+O158+O159</f>
        <v>44990.8</v>
      </c>
    </row>
    <row r="156" spans="1:15" s="230" customFormat="1" ht="56.25">
      <c r="A156" s="487"/>
      <c r="B156" s="488"/>
      <c r="C156" s="45" t="s">
        <v>117</v>
      </c>
      <c r="D156" s="42">
        <v>847</v>
      </c>
      <c r="E156" s="48"/>
      <c r="F156" s="49">
        <f t="shared" si="35"/>
        <v>346</v>
      </c>
      <c r="G156" s="49">
        <f>G173</f>
        <v>0</v>
      </c>
      <c r="H156" s="49">
        <f>H173</f>
        <v>0</v>
      </c>
      <c r="I156" s="49">
        <f>I173</f>
        <v>0</v>
      </c>
      <c r="J156" s="49">
        <f>J173</f>
        <v>0</v>
      </c>
      <c r="K156" s="49">
        <f>K173</f>
        <v>0</v>
      </c>
      <c r="L156" s="49">
        <f>L165</f>
        <v>346</v>
      </c>
      <c r="M156" s="49">
        <f>M173</f>
        <v>0</v>
      </c>
      <c r="N156" s="49">
        <f>N173</f>
        <v>0</v>
      </c>
      <c r="O156" s="267">
        <f>O173</f>
        <v>0</v>
      </c>
    </row>
    <row r="157" spans="1:15" s="230" customFormat="1" ht="66.75" customHeight="1">
      <c r="A157" s="487"/>
      <c r="B157" s="488"/>
      <c r="C157" s="45" t="s">
        <v>117</v>
      </c>
      <c r="D157" s="42">
        <v>859</v>
      </c>
      <c r="E157" s="48"/>
      <c r="F157" s="49">
        <f>SUM(G157:O157)</f>
        <v>231</v>
      </c>
      <c r="G157" s="49">
        <v>0</v>
      </c>
      <c r="H157" s="49">
        <v>0</v>
      </c>
      <c r="I157" s="49">
        <v>0</v>
      </c>
      <c r="J157" s="49">
        <v>0</v>
      </c>
      <c r="K157" s="49">
        <v>0</v>
      </c>
      <c r="L157" s="49">
        <f>L173</f>
        <v>231</v>
      </c>
      <c r="M157" s="49">
        <f>M173</f>
        <v>0</v>
      </c>
      <c r="N157" s="49">
        <f>N173</f>
        <v>0</v>
      </c>
      <c r="O157" s="49">
        <f>O173</f>
        <v>0</v>
      </c>
    </row>
    <row r="158" spans="1:15" s="230" customFormat="1" ht="37.5">
      <c r="A158" s="487"/>
      <c r="B158" s="488"/>
      <c r="C158" s="45" t="s">
        <v>118</v>
      </c>
      <c r="D158" s="48" t="s">
        <v>109</v>
      </c>
      <c r="E158" s="48" t="s">
        <v>214</v>
      </c>
      <c r="F158" s="49">
        <f t="shared" si="35"/>
        <v>376900.07554</v>
      </c>
      <c r="G158" s="49">
        <f aca="true" t="shared" si="46" ref="G158:L158">G166</f>
        <v>54845.46974</v>
      </c>
      <c r="H158" s="49">
        <f t="shared" si="46"/>
        <v>50287.36483</v>
      </c>
      <c r="I158" s="49">
        <f t="shared" si="46"/>
        <v>44493.9</v>
      </c>
      <c r="J158" s="49">
        <f t="shared" si="46"/>
        <v>44108.68649</v>
      </c>
      <c r="K158" s="49">
        <f t="shared" si="46"/>
        <v>39682.24948</v>
      </c>
      <c r="L158" s="49">
        <f t="shared" si="46"/>
        <v>35930.905</v>
      </c>
      <c r="M158" s="49">
        <f>M166</f>
        <v>35768.5</v>
      </c>
      <c r="N158" s="49">
        <f>N166</f>
        <v>35891.5</v>
      </c>
      <c r="O158" s="268">
        <f>O166</f>
        <v>35891.5</v>
      </c>
    </row>
    <row r="159" spans="1:15" s="230" customFormat="1" ht="51.75" customHeight="1">
      <c r="A159" s="487"/>
      <c r="B159" s="488"/>
      <c r="C159" s="45" t="s">
        <v>118</v>
      </c>
      <c r="D159" s="48" t="s">
        <v>612</v>
      </c>
      <c r="E159" s="48"/>
      <c r="F159" s="49">
        <f t="shared" si="35"/>
        <v>31638.153</v>
      </c>
      <c r="G159" s="49">
        <f>G175</f>
        <v>0</v>
      </c>
      <c r="H159" s="49">
        <v>0</v>
      </c>
      <c r="I159" s="49">
        <v>0</v>
      </c>
      <c r="J159" s="49">
        <v>0</v>
      </c>
      <c r="K159" s="49">
        <v>0</v>
      </c>
      <c r="L159" s="49">
        <f>L174</f>
        <v>4196.253</v>
      </c>
      <c r="M159" s="49">
        <f>M174</f>
        <v>9096.1</v>
      </c>
      <c r="N159" s="49">
        <f>N174</f>
        <v>9246.5</v>
      </c>
      <c r="O159" s="268">
        <f>O174</f>
        <v>9099.3</v>
      </c>
    </row>
    <row r="160" spans="1:15" s="230" customFormat="1" ht="56.25">
      <c r="A160" s="487"/>
      <c r="B160" s="488"/>
      <c r="C160" s="45" t="s">
        <v>119</v>
      </c>
      <c r="D160" s="48"/>
      <c r="E160" s="48"/>
      <c r="F160" s="49">
        <f aca="true" t="shared" si="47" ref="F160:F216">G160+H160+I160+J160+K160+L160+M160+O160+N160</f>
        <v>0</v>
      </c>
      <c r="G160" s="49">
        <f aca="true" t="shared" si="48" ref="G160:O163">G176</f>
        <v>0</v>
      </c>
      <c r="H160" s="49">
        <f t="shared" si="48"/>
        <v>0</v>
      </c>
      <c r="I160" s="49">
        <f t="shared" si="48"/>
        <v>0</v>
      </c>
      <c r="J160" s="49">
        <f t="shared" si="48"/>
        <v>0</v>
      </c>
      <c r="K160" s="49">
        <f t="shared" si="48"/>
        <v>0</v>
      </c>
      <c r="L160" s="49">
        <f t="shared" si="48"/>
        <v>0</v>
      </c>
      <c r="M160" s="49">
        <f t="shared" si="48"/>
        <v>0</v>
      </c>
      <c r="N160" s="49">
        <f>N176</f>
        <v>0</v>
      </c>
      <c r="O160" s="267">
        <f t="shared" si="48"/>
        <v>0</v>
      </c>
    </row>
    <row r="161" spans="1:15" s="230" customFormat="1" ht="56.25">
      <c r="A161" s="487"/>
      <c r="B161" s="488"/>
      <c r="C161" s="45" t="s">
        <v>120</v>
      </c>
      <c r="D161" s="48"/>
      <c r="E161" s="48"/>
      <c r="F161" s="49">
        <f t="shared" si="47"/>
        <v>0</v>
      </c>
      <c r="G161" s="49">
        <f t="shared" si="48"/>
        <v>0</v>
      </c>
      <c r="H161" s="49">
        <f t="shared" si="48"/>
        <v>0</v>
      </c>
      <c r="I161" s="49">
        <f t="shared" si="48"/>
        <v>0</v>
      </c>
      <c r="J161" s="49">
        <f t="shared" si="48"/>
        <v>0</v>
      </c>
      <c r="K161" s="49">
        <f t="shared" si="48"/>
        <v>0</v>
      </c>
      <c r="L161" s="49">
        <f t="shared" si="48"/>
        <v>0</v>
      </c>
      <c r="M161" s="49">
        <f t="shared" si="48"/>
        <v>0</v>
      </c>
      <c r="N161" s="49">
        <f>N177</f>
        <v>0</v>
      </c>
      <c r="O161" s="267">
        <f t="shared" si="48"/>
        <v>0</v>
      </c>
    </row>
    <row r="162" spans="1:15" s="230" customFormat="1" ht="56.25">
      <c r="A162" s="487"/>
      <c r="B162" s="488"/>
      <c r="C162" s="45" t="s">
        <v>192</v>
      </c>
      <c r="D162" s="48"/>
      <c r="E162" s="48"/>
      <c r="F162" s="49">
        <f t="shared" si="47"/>
        <v>0</v>
      </c>
      <c r="G162" s="49">
        <f aca="true" t="shared" si="49" ref="G162:L162">G178</f>
        <v>0</v>
      </c>
      <c r="H162" s="49">
        <f t="shared" si="49"/>
        <v>0</v>
      </c>
      <c r="I162" s="49">
        <f t="shared" si="49"/>
        <v>0</v>
      </c>
      <c r="J162" s="49">
        <f t="shared" si="49"/>
        <v>0</v>
      </c>
      <c r="K162" s="49">
        <f t="shared" si="49"/>
        <v>0</v>
      </c>
      <c r="L162" s="49">
        <f t="shared" si="49"/>
        <v>0</v>
      </c>
      <c r="M162" s="49">
        <f t="shared" si="48"/>
        <v>0</v>
      </c>
      <c r="N162" s="49">
        <f>N178</f>
        <v>0</v>
      </c>
      <c r="O162" s="267">
        <f t="shared" si="48"/>
        <v>0</v>
      </c>
    </row>
    <row r="163" spans="1:15" s="230" customFormat="1" ht="112.5">
      <c r="A163" s="487"/>
      <c r="B163" s="488"/>
      <c r="C163" s="45" t="s">
        <v>178</v>
      </c>
      <c r="D163" s="48"/>
      <c r="E163" s="48"/>
      <c r="F163" s="49">
        <f t="shared" si="47"/>
        <v>0</v>
      </c>
      <c r="G163" s="49">
        <f aca="true" t="shared" si="50" ref="G163:L163">G179</f>
        <v>0</v>
      </c>
      <c r="H163" s="49">
        <f t="shared" si="50"/>
        <v>0</v>
      </c>
      <c r="I163" s="49">
        <f t="shared" si="50"/>
        <v>0</v>
      </c>
      <c r="J163" s="49">
        <f t="shared" si="50"/>
        <v>0</v>
      </c>
      <c r="K163" s="49">
        <f t="shared" si="50"/>
        <v>0</v>
      </c>
      <c r="L163" s="49">
        <f t="shared" si="50"/>
        <v>0</v>
      </c>
      <c r="M163" s="49">
        <f t="shared" si="48"/>
        <v>0</v>
      </c>
      <c r="N163" s="49">
        <f>N179</f>
        <v>0</v>
      </c>
      <c r="O163" s="267">
        <f t="shared" si="48"/>
        <v>0</v>
      </c>
    </row>
    <row r="164" spans="1:15" s="230" customFormat="1" ht="37.5">
      <c r="A164" s="487" t="s">
        <v>130</v>
      </c>
      <c r="B164" s="488" t="s">
        <v>585</v>
      </c>
      <c r="C164" s="45" t="s">
        <v>116</v>
      </c>
      <c r="D164" s="42"/>
      <c r="E164" s="48"/>
      <c r="F164" s="49">
        <f t="shared" si="47"/>
        <v>377246.07554</v>
      </c>
      <c r="G164" s="49">
        <f aca="true" t="shared" si="51" ref="G164:O164">G165+G166+G168+G169+G170+G171</f>
        <v>54845.46974</v>
      </c>
      <c r="H164" s="49">
        <f t="shared" si="51"/>
        <v>50287.36483</v>
      </c>
      <c r="I164" s="49">
        <f t="shared" si="51"/>
        <v>44493.9</v>
      </c>
      <c r="J164" s="49">
        <f t="shared" si="51"/>
        <v>44108.68649</v>
      </c>
      <c r="K164" s="49">
        <f t="shared" si="51"/>
        <v>39682.24948</v>
      </c>
      <c r="L164" s="49">
        <f t="shared" si="51"/>
        <v>36276.905</v>
      </c>
      <c r="M164" s="49">
        <f t="shared" si="51"/>
        <v>35768.5</v>
      </c>
      <c r="N164" s="49">
        <f>N165+N166+N168+N169+N170+N171</f>
        <v>35891.5</v>
      </c>
      <c r="O164" s="267">
        <f t="shared" si="51"/>
        <v>35891.5</v>
      </c>
    </row>
    <row r="165" spans="1:15" s="230" customFormat="1" ht="56.25">
      <c r="A165" s="487"/>
      <c r="B165" s="488"/>
      <c r="C165" s="45" t="s">
        <v>117</v>
      </c>
      <c r="D165" s="42"/>
      <c r="E165" s="48"/>
      <c r="F165" s="49">
        <f t="shared" si="47"/>
        <v>346</v>
      </c>
      <c r="G165" s="49">
        <v>0</v>
      </c>
      <c r="H165" s="49">
        <v>0</v>
      </c>
      <c r="I165" s="49">
        <v>0</v>
      </c>
      <c r="J165" s="49">
        <v>0</v>
      </c>
      <c r="K165" s="49">
        <v>0</v>
      </c>
      <c r="L165" s="49">
        <v>346</v>
      </c>
      <c r="M165" s="49">
        <v>0</v>
      </c>
      <c r="N165" s="59">
        <v>0</v>
      </c>
      <c r="O165" s="269">
        <v>0</v>
      </c>
    </row>
    <row r="166" spans="1:15" s="230" customFormat="1" ht="37.5">
      <c r="A166" s="487"/>
      <c r="B166" s="488"/>
      <c r="C166" s="45" t="s">
        <v>118</v>
      </c>
      <c r="D166" s="48" t="s">
        <v>109</v>
      </c>
      <c r="E166" s="48" t="s">
        <v>214</v>
      </c>
      <c r="F166" s="49">
        <f t="shared" si="47"/>
        <v>376900.07554</v>
      </c>
      <c r="G166" s="49">
        <v>54845.46974</v>
      </c>
      <c r="H166" s="49">
        <v>50287.36483</v>
      </c>
      <c r="I166" s="49">
        <v>44493.9</v>
      </c>
      <c r="J166" s="49">
        <v>44108.68649</v>
      </c>
      <c r="K166" s="49">
        <v>39682.24948</v>
      </c>
      <c r="L166" s="49">
        <f>36276.905-346</f>
        <v>35930.905</v>
      </c>
      <c r="M166" s="85">
        <f>3802+100+0.4+31866.1</f>
        <v>35768.5</v>
      </c>
      <c r="N166" s="59">
        <f>3802+100+31989.5</f>
        <v>35891.5</v>
      </c>
      <c r="O166" s="269">
        <f>3802+100+31989.5</f>
        <v>35891.5</v>
      </c>
    </row>
    <row r="167" spans="1:15" s="230" customFormat="1" ht="18" customHeight="1" hidden="1">
      <c r="A167" s="487"/>
      <c r="B167" s="488"/>
      <c r="C167" s="45"/>
      <c r="D167" s="48" t="s">
        <v>142</v>
      </c>
      <c r="E167" s="48"/>
      <c r="F167" s="49">
        <f t="shared" si="47"/>
        <v>6055.99351</v>
      </c>
      <c r="G167" s="49"/>
      <c r="H167" s="49"/>
      <c r="I167" s="49"/>
      <c r="J167" s="49">
        <v>6055.99351</v>
      </c>
      <c r="K167" s="49"/>
      <c r="L167" s="49"/>
      <c r="M167" s="49"/>
      <c r="N167" s="59"/>
      <c r="O167" s="269"/>
    </row>
    <row r="168" spans="1:15" s="230" customFormat="1" ht="56.25">
      <c r="A168" s="487"/>
      <c r="B168" s="488"/>
      <c r="C168" s="45" t="s">
        <v>119</v>
      </c>
      <c r="D168" s="48"/>
      <c r="E168" s="48"/>
      <c r="F168" s="49">
        <f t="shared" si="47"/>
        <v>0</v>
      </c>
      <c r="G168" s="49">
        <v>0</v>
      </c>
      <c r="H168" s="49">
        <v>0</v>
      </c>
      <c r="I168" s="49">
        <v>0</v>
      </c>
      <c r="J168" s="49">
        <v>0</v>
      </c>
      <c r="K168" s="49">
        <v>0</v>
      </c>
      <c r="L168" s="49">
        <v>0</v>
      </c>
      <c r="M168" s="49">
        <v>0</v>
      </c>
      <c r="N168" s="59">
        <v>0</v>
      </c>
      <c r="O168" s="269">
        <v>0</v>
      </c>
    </row>
    <row r="169" spans="1:15" s="230" customFormat="1" ht="56.25">
      <c r="A169" s="487"/>
      <c r="B169" s="488"/>
      <c r="C169" s="45" t="s">
        <v>120</v>
      </c>
      <c r="D169" s="48"/>
      <c r="E169" s="48"/>
      <c r="F169" s="49">
        <f t="shared" si="47"/>
        <v>0</v>
      </c>
      <c r="G169" s="49">
        <v>0</v>
      </c>
      <c r="H169" s="49">
        <v>0</v>
      </c>
      <c r="I169" s="49">
        <v>0</v>
      </c>
      <c r="J169" s="49">
        <v>0</v>
      </c>
      <c r="K169" s="49">
        <v>0</v>
      </c>
      <c r="L169" s="49">
        <v>0</v>
      </c>
      <c r="M169" s="49">
        <v>0</v>
      </c>
      <c r="N169" s="59">
        <v>0</v>
      </c>
      <c r="O169" s="269">
        <v>0</v>
      </c>
    </row>
    <row r="170" spans="1:15" s="230" customFormat="1" ht="56.25">
      <c r="A170" s="487"/>
      <c r="B170" s="488"/>
      <c r="C170" s="45" t="s">
        <v>192</v>
      </c>
      <c r="D170" s="48"/>
      <c r="E170" s="48"/>
      <c r="F170" s="49">
        <f t="shared" si="47"/>
        <v>0</v>
      </c>
      <c r="G170" s="49">
        <v>0</v>
      </c>
      <c r="H170" s="49">
        <v>0</v>
      </c>
      <c r="I170" s="49">
        <v>0</v>
      </c>
      <c r="J170" s="49">
        <v>0</v>
      </c>
      <c r="K170" s="49">
        <v>0</v>
      </c>
      <c r="L170" s="49">
        <v>0</v>
      </c>
      <c r="M170" s="49">
        <v>0</v>
      </c>
      <c r="N170" s="59">
        <v>0</v>
      </c>
      <c r="O170" s="269">
        <v>0</v>
      </c>
    </row>
    <row r="171" spans="1:15" s="230" customFormat="1" ht="112.5">
      <c r="A171" s="487"/>
      <c r="B171" s="488"/>
      <c r="C171" s="45" t="s">
        <v>178</v>
      </c>
      <c r="D171" s="48"/>
      <c r="E171" s="48"/>
      <c r="F171" s="49">
        <f t="shared" si="47"/>
        <v>0</v>
      </c>
      <c r="G171" s="49">
        <v>0</v>
      </c>
      <c r="H171" s="49">
        <v>0</v>
      </c>
      <c r="I171" s="49">
        <v>0</v>
      </c>
      <c r="J171" s="49">
        <v>0</v>
      </c>
      <c r="K171" s="49">
        <v>0</v>
      </c>
      <c r="L171" s="49">
        <v>0</v>
      </c>
      <c r="M171" s="49">
        <v>0</v>
      </c>
      <c r="N171" s="59">
        <v>0</v>
      </c>
      <c r="O171" s="269">
        <v>0</v>
      </c>
    </row>
    <row r="172" spans="1:15" s="230" customFormat="1" ht="37.5">
      <c r="A172" s="487" t="s">
        <v>606</v>
      </c>
      <c r="B172" s="488" t="s">
        <v>607</v>
      </c>
      <c r="C172" s="45" t="s">
        <v>116</v>
      </c>
      <c r="D172" s="42"/>
      <c r="E172" s="48"/>
      <c r="F172" s="49">
        <f t="shared" si="47"/>
        <v>31869.153</v>
      </c>
      <c r="G172" s="49">
        <f aca="true" t="shared" si="52" ref="G172:O172">G173+G174+G176+G177+G178+G179</f>
        <v>0</v>
      </c>
      <c r="H172" s="49">
        <f t="shared" si="52"/>
        <v>0</v>
      </c>
      <c r="I172" s="49">
        <f t="shared" si="52"/>
        <v>0</v>
      </c>
      <c r="J172" s="49">
        <f t="shared" si="52"/>
        <v>0</v>
      </c>
      <c r="K172" s="49">
        <f t="shared" si="52"/>
        <v>0</v>
      </c>
      <c r="L172" s="49">
        <f t="shared" si="52"/>
        <v>4427.253</v>
      </c>
      <c r="M172" s="49">
        <f t="shared" si="52"/>
        <v>9096.1</v>
      </c>
      <c r="N172" s="49">
        <f>N173+N174+N176+N177+N178+N179</f>
        <v>9246.5</v>
      </c>
      <c r="O172" s="267">
        <f t="shared" si="52"/>
        <v>9099.3</v>
      </c>
    </row>
    <row r="173" spans="1:15" s="230" customFormat="1" ht="56.25">
      <c r="A173" s="487"/>
      <c r="B173" s="488"/>
      <c r="C173" s="45" t="s">
        <v>117</v>
      </c>
      <c r="D173" s="42">
        <v>859</v>
      </c>
      <c r="E173" s="48"/>
      <c r="F173" s="49">
        <f t="shared" si="47"/>
        <v>231</v>
      </c>
      <c r="G173" s="49">
        <v>0</v>
      </c>
      <c r="H173" s="49">
        <v>0</v>
      </c>
      <c r="I173" s="49">
        <v>0</v>
      </c>
      <c r="J173" s="49">
        <v>0</v>
      </c>
      <c r="K173" s="49">
        <v>0</v>
      </c>
      <c r="L173" s="49">
        <v>231</v>
      </c>
      <c r="M173" s="49">
        <v>0</v>
      </c>
      <c r="N173" s="59">
        <v>0</v>
      </c>
      <c r="O173" s="269">
        <v>0</v>
      </c>
    </row>
    <row r="174" spans="1:15" s="230" customFormat="1" ht="37.5">
      <c r="A174" s="487"/>
      <c r="B174" s="488"/>
      <c r="C174" s="45" t="s">
        <v>118</v>
      </c>
      <c r="D174" s="48" t="s">
        <v>612</v>
      </c>
      <c r="E174" s="48" t="s">
        <v>214</v>
      </c>
      <c r="F174" s="49">
        <f t="shared" si="47"/>
        <v>31638.153</v>
      </c>
      <c r="G174" s="49">
        <v>0</v>
      </c>
      <c r="H174" s="49">
        <v>0</v>
      </c>
      <c r="I174" s="49">
        <v>0</v>
      </c>
      <c r="J174" s="49">
        <v>0</v>
      </c>
      <c r="K174" s="49">
        <v>0</v>
      </c>
      <c r="L174" s="49">
        <v>4196.253</v>
      </c>
      <c r="M174" s="85">
        <f>9096.1</f>
        <v>9096.1</v>
      </c>
      <c r="N174" s="59">
        <f>9246.5</f>
        <v>9246.5</v>
      </c>
      <c r="O174" s="269">
        <v>9099.3</v>
      </c>
    </row>
    <row r="175" spans="1:15" s="230" customFormat="1" ht="18" customHeight="1" hidden="1">
      <c r="A175" s="487"/>
      <c r="B175" s="488"/>
      <c r="C175" s="45"/>
      <c r="D175" s="48" t="s">
        <v>142</v>
      </c>
      <c r="E175" s="48"/>
      <c r="F175" s="49">
        <f t="shared" si="47"/>
        <v>6055.99351</v>
      </c>
      <c r="G175" s="49"/>
      <c r="H175" s="49"/>
      <c r="I175" s="49"/>
      <c r="J175" s="49">
        <v>6055.99351</v>
      </c>
      <c r="K175" s="49"/>
      <c r="L175" s="49"/>
      <c r="M175" s="49"/>
      <c r="N175" s="59"/>
      <c r="O175" s="269"/>
    </row>
    <row r="176" spans="1:15" s="230" customFormat="1" ht="56.25">
      <c r="A176" s="487"/>
      <c r="B176" s="488"/>
      <c r="C176" s="45" t="s">
        <v>119</v>
      </c>
      <c r="D176" s="48"/>
      <c r="E176" s="48"/>
      <c r="F176" s="49">
        <f t="shared" si="47"/>
        <v>0</v>
      </c>
      <c r="G176" s="49">
        <v>0</v>
      </c>
      <c r="H176" s="49">
        <v>0</v>
      </c>
      <c r="I176" s="49">
        <v>0</v>
      </c>
      <c r="J176" s="49">
        <v>0</v>
      </c>
      <c r="K176" s="49">
        <v>0</v>
      </c>
      <c r="L176" s="49">
        <v>0</v>
      </c>
      <c r="M176" s="49">
        <v>0</v>
      </c>
      <c r="N176" s="59">
        <v>0</v>
      </c>
      <c r="O176" s="269">
        <v>0</v>
      </c>
    </row>
    <row r="177" spans="1:15" s="230" customFormat="1" ht="56.25">
      <c r="A177" s="487"/>
      <c r="B177" s="488"/>
      <c r="C177" s="45" t="s">
        <v>120</v>
      </c>
      <c r="D177" s="48"/>
      <c r="E177" s="48"/>
      <c r="F177" s="49">
        <f t="shared" si="47"/>
        <v>0</v>
      </c>
      <c r="G177" s="49">
        <v>0</v>
      </c>
      <c r="H177" s="49">
        <v>0</v>
      </c>
      <c r="I177" s="49">
        <v>0</v>
      </c>
      <c r="J177" s="49">
        <v>0</v>
      </c>
      <c r="K177" s="49">
        <v>0</v>
      </c>
      <c r="L177" s="49">
        <v>0</v>
      </c>
      <c r="M177" s="49">
        <v>0</v>
      </c>
      <c r="N177" s="59">
        <v>0</v>
      </c>
      <c r="O177" s="269">
        <v>0</v>
      </c>
    </row>
    <row r="178" spans="1:15" s="230" customFormat="1" ht="56.25">
      <c r="A178" s="487"/>
      <c r="B178" s="488"/>
      <c r="C178" s="45" t="s">
        <v>192</v>
      </c>
      <c r="D178" s="48"/>
      <c r="E178" s="48"/>
      <c r="F178" s="49">
        <f t="shared" si="47"/>
        <v>0</v>
      </c>
      <c r="G178" s="49">
        <v>0</v>
      </c>
      <c r="H178" s="49">
        <v>0</v>
      </c>
      <c r="I178" s="49">
        <v>0</v>
      </c>
      <c r="J178" s="49">
        <v>0</v>
      </c>
      <c r="K178" s="49">
        <v>0</v>
      </c>
      <c r="L178" s="49">
        <v>0</v>
      </c>
      <c r="M178" s="49">
        <v>0</v>
      </c>
      <c r="N178" s="59">
        <v>0</v>
      </c>
      <c r="O178" s="269">
        <v>0</v>
      </c>
    </row>
    <row r="179" spans="1:15" s="230" customFormat="1" ht="112.5">
      <c r="A179" s="487"/>
      <c r="B179" s="488"/>
      <c r="C179" s="45" t="s">
        <v>178</v>
      </c>
      <c r="D179" s="48"/>
      <c r="E179" s="48"/>
      <c r="F179" s="49">
        <f t="shared" si="47"/>
        <v>0</v>
      </c>
      <c r="G179" s="49">
        <v>0</v>
      </c>
      <c r="H179" s="49">
        <v>0</v>
      </c>
      <c r="I179" s="49">
        <v>0</v>
      </c>
      <c r="J179" s="49">
        <v>0</v>
      </c>
      <c r="K179" s="49">
        <v>0</v>
      </c>
      <c r="L179" s="49">
        <v>0</v>
      </c>
      <c r="M179" s="49">
        <v>0</v>
      </c>
      <c r="N179" s="59">
        <v>0</v>
      </c>
      <c r="O179" s="269">
        <v>0</v>
      </c>
    </row>
    <row r="180" spans="1:15" s="230" customFormat="1" ht="37.5">
      <c r="A180" s="492" t="s">
        <v>81</v>
      </c>
      <c r="B180" s="496" t="s">
        <v>191</v>
      </c>
      <c r="C180" s="45" t="s">
        <v>116</v>
      </c>
      <c r="D180" s="42"/>
      <c r="E180" s="48"/>
      <c r="F180" s="49">
        <f t="shared" si="47"/>
        <v>3980266.1999600003</v>
      </c>
      <c r="G180" s="49">
        <f aca="true" t="shared" si="53" ref="G180:O180">G181+G184+G187+G188+G189+G190</f>
        <v>423079.08392999996</v>
      </c>
      <c r="H180" s="49">
        <f t="shared" si="53"/>
        <v>393066.91000000003</v>
      </c>
      <c r="I180" s="49">
        <f t="shared" si="53"/>
        <v>358333.36062</v>
      </c>
      <c r="J180" s="49">
        <f t="shared" si="53"/>
        <v>317904.12467000005</v>
      </c>
      <c r="K180" s="49">
        <f t="shared" si="53"/>
        <v>282617.88905999996</v>
      </c>
      <c r="L180" s="49">
        <f t="shared" si="53"/>
        <v>522503.5496</v>
      </c>
      <c r="M180" s="49">
        <f t="shared" si="53"/>
        <v>873683.1820799999</v>
      </c>
      <c r="N180" s="49">
        <f t="shared" si="53"/>
        <v>204626</v>
      </c>
      <c r="O180" s="267">
        <f t="shared" si="53"/>
        <v>604452.1</v>
      </c>
    </row>
    <row r="181" spans="1:15" s="230" customFormat="1" ht="75">
      <c r="A181" s="492"/>
      <c r="B181" s="496"/>
      <c r="C181" s="45" t="s">
        <v>651</v>
      </c>
      <c r="D181" s="42"/>
      <c r="E181" s="48"/>
      <c r="F181" s="49">
        <f t="shared" si="47"/>
        <v>2001874.1</v>
      </c>
      <c r="G181" s="49">
        <f aca="true" t="shared" si="54" ref="G181:O181">G182+G183</f>
        <v>30000</v>
      </c>
      <c r="H181" s="49">
        <f t="shared" si="54"/>
        <v>95000</v>
      </c>
      <c r="I181" s="49">
        <f t="shared" si="54"/>
        <v>0</v>
      </c>
      <c r="J181" s="49">
        <f t="shared" si="54"/>
        <v>0</v>
      </c>
      <c r="K181" s="49">
        <f t="shared" si="54"/>
        <v>166000</v>
      </c>
      <c r="L181" s="49">
        <f t="shared" si="54"/>
        <v>380000</v>
      </c>
      <c r="M181" s="49">
        <f t="shared" si="54"/>
        <v>532500</v>
      </c>
      <c r="N181" s="49">
        <f t="shared" si="54"/>
        <v>193922</v>
      </c>
      <c r="O181" s="49">
        <f t="shared" si="54"/>
        <v>604452.1</v>
      </c>
    </row>
    <row r="182" spans="1:15" s="230" customFormat="1" ht="56.25">
      <c r="A182" s="492"/>
      <c r="B182" s="496"/>
      <c r="C182" s="45" t="s">
        <v>117</v>
      </c>
      <c r="D182" s="42">
        <v>847</v>
      </c>
      <c r="E182" s="48"/>
      <c r="F182" s="49">
        <f t="shared" si="47"/>
        <v>325000</v>
      </c>
      <c r="G182" s="49">
        <f>G208</f>
        <v>30000</v>
      </c>
      <c r="H182" s="49">
        <f>H208</f>
        <v>95000</v>
      </c>
      <c r="I182" s="49">
        <v>0</v>
      </c>
      <c r="J182" s="49">
        <v>0</v>
      </c>
      <c r="K182" s="49">
        <f>K208+K217+K227</f>
        <v>0</v>
      </c>
      <c r="L182" s="49">
        <f>L208+L217+L227</f>
        <v>0</v>
      </c>
      <c r="M182" s="49">
        <f>M208+M217+M227</f>
        <v>200000</v>
      </c>
      <c r="N182" s="49">
        <f>N208+N217+N227</f>
        <v>0</v>
      </c>
      <c r="O182" s="49">
        <f>O208+O217+O227</f>
        <v>0</v>
      </c>
    </row>
    <row r="183" spans="1:15" s="230" customFormat="1" ht="56.25">
      <c r="A183" s="492"/>
      <c r="B183" s="496"/>
      <c r="C183" s="45" t="s">
        <v>117</v>
      </c>
      <c r="D183" s="42">
        <v>812</v>
      </c>
      <c r="E183" s="48"/>
      <c r="F183" s="49">
        <f t="shared" si="47"/>
        <v>1676874.1</v>
      </c>
      <c r="G183" s="49">
        <v>0</v>
      </c>
      <c r="H183" s="49">
        <v>0</v>
      </c>
      <c r="I183" s="49">
        <v>0</v>
      </c>
      <c r="J183" s="49">
        <v>0</v>
      </c>
      <c r="K183" s="49">
        <f>K199</f>
        <v>166000</v>
      </c>
      <c r="L183" s="49">
        <f>L199+L226</f>
        <v>380000</v>
      </c>
      <c r="M183" s="49">
        <f>M199+M226</f>
        <v>332500</v>
      </c>
      <c r="N183" s="49">
        <f>N199+N226</f>
        <v>193922</v>
      </c>
      <c r="O183" s="49">
        <f>O199+O226</f>
        <v>604452.1</v>
      </c>
    </row>
    <row r="184" spans="1:15" s="230" customFormat="1" ht="75">
      <c r="A184" s="492"/>
      <c r="B184" s="496"/>
      <c r="C184" s="45" t="s">
        <v>122</v>
      </c>
      <c r="D184" s="48"/>
      <c r="E184" s="48"/>
      <c r="F184" s="49">
        <f t="shared" si="47"/>
        <v>1961801.20631</v>
      </c>
      <c r="G184" s="49">
        <f aca="true" t="shared" si="55" ref="G184:N184">G185+G186</f>
        <v>383669.49648</v>
      </c>
      <c r="H184" s="49">
        <f t="shared" si="55"/>
        <v>298066.91000000003</v>
      </c>
      <c r="I184" s="49">
        <f t="shared" si="55"/>
        <v>353438.64662</v>
      </c>
      <c r="J184" s="49">
        <f t="shared" si="55"/>
        <v>315617.53247000003</v>
      </c>
      <c r="K184" s="49">
        <f t="shared" si="55"/>
        <v>116617.88905999999</v>
      </c>
      <c r="L184" s="49">
        <f t="shared" si="55"/>
        <v>142503.5496</v>
      </c>
      <c r="M184" s="49">
        <f t="shared" si="55"/>
        <v>341183.18208</v>
      </c>
      <c r="N184" s="49">
        <f t="shared" si="55"/>
        <v>10704</v>
      </c>
      <c r="O184" s="267">
        <f>O193+O200+O209+O218+O230</f>
        <v>0</v>
      </c>
    </row>
    <row r="185" spans="1:15" s="230" customFormat="1" ht="37.5">
      <c r="A185" s="492"/>
      <c r="B185" s="496"/>
      <c r="C185" s="45" t="s">
        <v>118</v>
      </c>
      <c r="D185" s="48" t="s">
        <v>109</v>
      </c>
      <c r="E185" s="48" t="s">
        <v>228</v>
      </c>
      <c r="F185" s="49">
        <f t="shared" si="47"/>
        <v>1099193.3026100001</v>
      </c>
      <c r="G185" s="49">
        <f>G193+G201+G210+G219</f>
        <v>383273.49648</v>
      </c>
      <c r="H185" s="49">
        <f>H193+H201+H210+H219</f>
        <v>226168</v>
      </c>
      <c r="I185" s="49">
        <f>I193+I201+I210+I219</f>
        <v>289754.22952</v>
      </c>
      <c r="J185" s="49">
        <f>J193+J201+J210</f>
        <v>59527.957500000004</v>
      </c>
      <c r="K185" s="49">
        <f>K193+K201+K210</f>
        <v>68153.70743</v>
      </c>
      <c r="L185" s="49">
        <f>L193+L201+L210+L217+L230</f>
        <v>30282.2996</v>
      </c>
      <c r="M185" s="49">
        <f>M193+M201+M210+M230</f>
        <v>42033.61208</v>
      </c>
      <c r="N185" s="49">
        <f>N193+N201+N210+N230</f>
        <v>0</v>
      </c>
      <c r="O185" s="49">
        <f>O193+O201+O210+O230</f>
        <v>0</v>
      </c>
    </row>
    <row r="186" spans="1:17" s="230" customFormat="1" ht="37.5">
      <c r="A186" s="492"/>
      <c r="B186" s="496"/>
      <c r="C186" s="45" t="s">
        <v>118</v>
      </c>
      <c r="D186" s="48" t="s">
        <v>110</v>
      </c>
      <c r="E186" s="48" t="s">
        <v>228</v>
      </c>
      <c r="F186" s="49">
        <f t="shared" si="47"/>
        <v>862607.9037000001</v>
      </c>
      <c r="G186" s="49">
        <f>G202+G211</f>
        <v>396</v>
      </c>
      <c r="H186" s="49">
        <f>H202+H211</f>
        <v>71898.91</v>
      </c>
      <c r="I186" s="49">
        <f>I202+I211</f>
        <v>63684.4171</v>
      </c>
      <c r="J186" s="49">
        <f>J202+J211</f>
        <v>256089.57497000002</v>
      </c>
      <c r="K186" s="49">
        <f>K202+K211+K219</f>
        <v>48464.18163</v>
      </c>
      <c r="L186" s="49">
        <f>L202+L211+L219+L229</f>
        <v>112221.25</v>
      </c>
      <c r="M186" s="49">
        <f>M202+M211+M219+M229</f>
        <v>299149.57</v>
      </c>
      <c r="N186" s="49">
        <f>N202+N211+N219+N229</f>
        <v>10704</v>
      </c>
      <c r="O186" s="49">
        <f>O202+O211+O219+O229</f>
        <v>0</v>
      </c>
      <c r="Q186" s="230">
        <v>320055.68305</v>
      </c>
    </row>
    <row r="187" spans="1:15" s="230" customFormat="1" ht="56.25">
      <c r="A187" s="492"/>
      <c r="B187" s="496"/>
      <c r="C187" s="45" t="s">
        <v>119</v>
      </c>
      <c r="D187" s="48"/>
      <c r="E187" s="48"/>
      <c r="F187" s="49">
        <f t="shared" si="47"/>
        <v>16590.89365</v>
      </c>
      <c r="G187" s="49">
        <f>G194+G212+G267+G220</f>
        <v>9409.58745</v>
      </c>
      <c r="H187" s="49">
        <f>H194+H212+H267+H220</f>
        <v>0</v>
      </c>
      <c r="I187" s="49">
        <f>I194+I212+I267+I220</f>
        <v>4894.714</v>
      </c>
      <c r="J187" s="49">
        <f>J194+J212+J267+J220</f>
        <v>2286.5922</v>
      </c>
      <c r="K187" s="49">
        <f>K194+K212+K267+K220</f>
        <v>0</v>
      </c>
      <c r="L187" s="49">
        <f>L194+L212+L267+L220+L231</f>
        <v>0</v>
      </c>
      <c r="M187" s="49">
        <f>M194+M212+M267+M220+M231</f>
        <v>0</v>
      </c>
      <c r="N187" s="49">
        <f>N194+N212+N267+N220+N231</f>
        <v>0</v>
      </c>
      <c r="O187" s="267">
        <f>O194+O212+O267+O220+O231</f>
        <v>0</v>
      </c>
    </row>
    <row r="188" spans="1:15" s="230" customFormat="1" ht="56.25">
      <c r="A188" s="492"/>
      <c r="B188" s="496"/>
      <c r="C188" s="45" t="s">
        <v>120</v>
      </c>
      <c r="D188" s="48"/>
      <c r="E188" s="48"/>
      <c r="F188" s="49">
        <f t="shared" si="47"/>
        <v>0</v>
      </c>
      <c r="G188" s="49">
        <f aca="true" t="shared" si="56" ref="G188:O190">G195+G204+G213</f>
        <v>0</v>
      </c>
      <c r="H188" s="49">
        <f t="shared" si="56"/>
        <v>0</v>
      </c>
      <c r="I188" s="49">
        <f t="shared" si="56"/>
        <v>0</v>
      </c>
      <c r="J188" s="49">
        <f t="shared" si="56"/>
        <v>0</v>
      </c>
      <c r="K188" s="49">
        <f t="shared" si="56"/>
        <v>0</v>
      </c>
      <c r="L188" s="49">
        <f t="shared" si="56"/>
        <v>0</v>
      </c>
      <c r="M188" s="49">
        <f t="shared" si="56"/>
        <v>0</v>
      </c>
      <c r="N188" s="49">
        <f>N195+N204+N213</f>
        <v>0</v>
      </c>
      <c r="O188" s="267">
        <f t="shared" si="56"/>
        <v>0</v>
      </c>
    </row>
    <row r="189" spans="1:15" s="230" customFormat="1" ht="56.25">
      <c r="A189" s="492"/>
      <c r="B189" s="496"/>
      <c r="C189" s="45" t="s">
        <v>192</v>
      </c>
      <c r="D189" s="48"/>
      <c r="E189" s="48"/>
      <c r="F189" s="49">
        <f t="shared" si="47"/>
        <v>0</v>
      </c>
      <c r="G189" s="49">
        <f t="shared" si="56"/>
        <v>0</v>
      </c>
      <c r="H189" s="49">
        <f t="shared" si="56"/>
        <v>0</v>
      </c>
      <c r="I189" s="49">
        <f t="shared" si="56"/>
        <v>0</v>
      </c>
      <c r="J189" s="49">
        <f t="shared" si="56"/>
        <v>0</v>
      </c>
      <c r="K189" s="49">
        <f t="shared" si="56"/>
        <v>0</v>
      </c>
      <c r="L189" s="49">
        <f t="shared" si="56"/>
        <v>0</v>
      </c>
      <c r="M189" s="49">
        <f t="shared" si="56"/>
        <v>0</v>
      </c>
      <c r="N189" s="49">
        <f>N196+N205+N214</f>
        <v>0</v>
      </c>
      <c r="O189" s="267">
        <f t="shared" si="56"/>
        <v>0</v>
      </c>
    </row>
    <row r="190" spans="1:15" s="230" customFormat="1" ht="112.5">
      <c r="A190" s="492"/>
      <c r="B190" s="496"/>
      <c r="C190" s="45" t="s">
        <v>178</v>
      </c>
      <c r="D190" s="48"/>
      <c r="E190" s="48"/>
      <c r="F190" s="49">
        <f t="shared" si="47"/>
        <v>0</v>
      </c>
      <c r="G190" s="49">
        <f t="shared" si="56"/>
        <v>0</v>
      </c>
      <c r="H190" s="49">
        <f t="shared" si="56"/>
        <v>0</v>
      </c>
      <c r="I190" s="49">
        <f t="shared" si="56"/>
        <v>0</v>
      </c>
      <c r="J190" s="49">
        <f t="shared" si="56"/>
        <v>0</v>
      </c>
      <c r="K190" s="49">
        <f t="shared" si="56"/>
        <v>0</v>
      </c>
      <c r="L190" s="49">
        <f t="shared" si="56"/>
        <v>0</v>
      </c>
      <c r="M190" s="49">
        <f t="shared" si="56"/>
        <v>0</v>
      </c>
      <c r="N190" s="49">
        <f>N197+N206+N215</f>
        <v>0</v>
      </c>
      <c r="O190" s="267">
        <f t="shared" si="56"/>
        <v>0</v>
      </c>
    </row>
    <row r="191" spans="1:15" s="230" customFormat="1" ht="37.5">
      <c r="A191" s="492" t="s">
        <v>131</v>
      </c>
      <c r="B191" s="488" t="s">
        <v>415</v>
      </c>
      <c r="C191" s="45" t="s">
        <v>116</v>
      </c>
      <c r="D191" s="37"/>
      <c r="E191" s="48"/>
      <c r="F191" s="49">
        <f t="shared" si="47"/>
        <v>101550.07693</v>
      </c>
      <c r="G191" s="49">
        <f aca="true" t="shared" si="57" ref="G191:O191">G192+G193+G194+G195+G196</f>
        <v>69562.40193</v>
      </c>
      <c r="H191" s="49">
        <f t="shared" si="57"/>
        <v>0</v>
      </c>
      <c r="I191" s="49">
        <f t="shared" si="57"/>
        <v>20554.714</v>
      </c>
      <c r="J191" s="49">
        <f t="shared" si="57"/>
        <v>11432.961</v>
      </c>
      <c r="K191" s="49">
        <f t="shared" si="57"/>
        <v>0</v>
      </c>
      <c r="L191" s="49">
        <f t="shared" si="57"/>
        <v>0</v>
      </c>
      <c r="M191" s="49">
        <f t="shared" si="57"/>
        <v>0</v>
      </c>
      <c r="N191" s="49">
        <f>N192+N193+N194+N195+N196</f>
        <v>0</v>
      </c>
      <c r="O191" s="267">
        <f t="shared" si="57"/>
        <v>0</v>
      </c>
    </row>
    <row r="192" spans="1:15" s="230" customFormat="1" ht="56.25">
      <c r="A192" s="487"/>
      <c r="B192" s="488"/>
      <c r="C192" s="45" t="s">
        <v>117</v>
      </c>
      <c r="D192" s="37"/>
      <c r="E192" s="56"/>
      <c r="F192" s="49">
        <f t="shared" si="47"/>
        <v>0</v>
      </c>
      <c r="G192" s="49">
        <f>'приложение 8'!D359</f>
        <v>0</v>
      </c>
      <c r="H192" s="49">
        <f>'приложение 8'!E359</f>
        <v>0</v>
      </c>
      <c r="I192" s="49">
        <f>'приложение 8'!F359</f>
        <v>0</v>
      </c>
      <c r="J192" s="49">
        <f>'приложение 8'!G359</f>
        <v>0</v>
      </c>
      <c r="K192" s="49">
        <v>0</v>
      </c>
      <c r="L192" s="49">
        <v>0</v>
      </c>
      <c r="M192" s="49">
        <v>0</v>
      </c>
      <c r="N192" s="59">
        <v>0</v>
      </c>
      <c r="O192" s="269">
        <v>0</v>
      </c>
    </row>
    <row r="193" spans="1:15" s="230" customFormat="1" ht="37.5">
      <c r="A193" s="487"/>
      <c r="B193" s="488"/>
      <c r="C193" s="45" t="s">
        <v>118</v>
      </c>
      <c r="D193" s="37">
        <v>847</v>
      </c>
      <c r="E193" s="48" t="s">
        <v>228</v>
      </c>
      <c r="F193" s="49">
        <f t="shared" si="47"/>
        <v>84959.18328</v>
      </c>
      <c r="G193" s="49">
        <f>'приложение 8'!D360</f>
        <v>60152.81448</v>
      </c>
      <c r="H193" s="49">
        <f>'приложение 8'!E360</f>
        <v>0</v>
      </c>
      <c r="I193" s="49">
        <f>'приложение 8'!F360</f>
        <v>15660</v>
      </c>
      <c r="J193" s="49">
        <f>'приложение 8'!G360</f>
        <v>9146.3688</v>
      </c>
      <c r="K193" s="49">
        <v>0</v>
      </c>
      <c r="L193" s="49">
        <v>0</v>
      </c>
      <c r="M193" s="49">
        <v>0</v>
      </c>
      <c r="N193" s="59">
        <v>0</v>
      </c>
      <c r="O193" s="269">
        <v>0</v>
      </c>
    </row>
    <row r="194" spans="1:15" s="230" customFormat="1" ht="56.25">
      <c r="A194" s="487"/>
      <c r="B194" s="488"/>
      <c r="C194" s="45" t="s">
        <v>119</v>
      </c>
      <c r="D194" s="37"/>
      <c r="E194" s="56"/>
      <c r="F194" s="49">
        <f t="shared" si="47"/>
        <v>16590.89365</v>
      </c>
      <c r="G194" s="49">
        <f>'приложение 8'!D361</f>
        <v>9409.58745</v>
      </c>
      <c r="H194" s="38">
        <f>'приложение 8'!E361</f>
        <v>0</v>
      </c>
      <c r="I194" s="49">
        <f>'приложение 8'!F361</f>
        <v>4894.714</v>
      </c>
      <c r="J194" s="49">
        <f>'приложение 8'!G361</f>
        <v>2286.5922</v>
      </c>
      <c r="K194" s="49">
        <v>0</v>
      </c>
      <c r="L194" s="49">
        <v>0</v>
      </c>
      <c r="M194" s="49">
        <v>0</v>
      </c>
      <c r="N194" s="59">
        <v>0</v>
      </c>
      <c r="O194" s="269">
        <v>0</v>
      </c>
    </row>
    <row r="195" spans="1:15" s="230" customFormat="1" ht="56.25">
      <c r="A195" s="487"/>
      <c r="B195" s="488"/>
      <c r="C195" s="45" t="s">
        <v>120</v>
      </c>
      <c r="D195" s="37"/>
      <c r="E195" s="56"/>
      <c r="F195" s="49">
        <f t="shared" si="47"/>
        <v>0</v>
      </c>
      <c r="G195" s="49">
        <f>'приложение 8'!D362</f>
        <v>0</v>
      </c>
      <c r="H195" s="49">
        <f>'приложение 8'!E362</f>
        <v>0</v>
      </c>
      <c r="I195" s="49">
        <f>'приложение 8'!F362</f>
        <v>0</v>
      </c>
      <c r="J195" s="49">
        <f>'приложение 8'!G362</f>
        <v>0</v>
      </c>
      <c r="K195" s="49">
        <v>0</v>
      </c>
      <c r="L195" s="49">
        <v>0</v>
      </c>
      <c r="M195" s="49">
        <v>0</v>
      </c>
      <c r="N195" s="59">
        <v>0</v>
      </c>
      <c r="O195" s="269">
        <v>0</v>
      </c>
    </row>
    <row r="196" spans="1:15" s="230" customFormat="1" ht="56.25">
      <c r="A196" s="487"/>
      <c r="B196" s="488"/>
      <c r="C196" s="45" t="s">
        <v>192</v>
      </c>
      <c r="D196" s="37"/>
      <c r="E196" s="56"/>
      <c r="F196" s="49">
        <f t="shared" si="47"/>
        <v>0</v>
      </c>
      <c r="G196" s="49">
        <v>0</v>
      </c>
      <c r="H196" s="49">
        <v>0</v>
      </c>
      <c r="I196" s="49">
        <v>0</v>
      </c>
      <c r="J196" s="49">
        <v>0</v>
      </c>
      <c r="K196" s="49">
        <v>0</v>
      </c>
      <c r="L196" s="49">
        <v>0</v>
      </c>
      <c r="M196" s="49">
        <v>0</v>
      </c>
      <c r="N196" s="59">
        <v>0</v>
      </c>
      <c r="O196" s="269">
        <v>0</v>
      </c>
    </row>
    <row r="197" spans="1:15" s="230" customFormat="1" ht="112.5">
      <c r="A197" s="487"/>
      <c r="B197" s="488"/>
      <c r="C197" s="45" t="s">
        <v>178</v>
      </c>
      <c r="D197" s="37"/>
      <c r="E197" s="56"/>
      <c r="F197" s="49">
        <f t="shared" si="47"/>
        <v>0</v>
      </c>
      <c r="G197" s="49">
        <v>0</v>
      </c>
      <c r="H197" s="49">
        <v>0</v>
      </c>
      <c r="I197" s="49">
        <v>0</v>
      </c>
      <c r="J197" s="49">
        <v>0</v>
      </c>
      <c r="K197" s="49">
        <v>0</v>
      </c>
      <c r="L197" s="49">
        <v>0</v>
      </c>
      <c r="M197" s="49">
        <v>0</v>
      </c>
      <c r="N197" s="59">
        <v>0</v>
      </c>
      <c r="O197" s="269">
        <v>0</v>
      </c>
    </row>
    <row r="198" spans="1:15" s="230" customFormat="1" ht="37.5">
      <c r="A198" s="492" t="s">
        <v>132</v>
      </c>
      <c r="B198" s="488" t="s">
        <v>586</v>
      </c>
      <c r="C198" s="45" t="s">
        <v>116</v>
      </c>
      <c r="D198" s="42"/>
      <c r="E198" s="48"/>
      <c r="F198" s="49">
        <f t="shared" si="47"/>
        <v>1179455.99052</v>
      </c>
      <c r="G198" s="49">
        <f aca="true" t="shared" si="58" ref="G198:O198">G199+G200+G203+G204+G205</f>
        <v>0</v>
      </c>
      <c r="H198" s="49">
        <f t="shared" si="58"/>
        <v>44264.87</v>
      </c>
      <c r="I198" s="49">
        <f t="shared" si="58"/>
        <v>104988</v>
      </c>
      <c r="J198" s="49">
        <f t="shared" si="58"/>
        <v>238086.59973</v>
      </c>
      <c r="K198" s="49">
        <f t="shared" si="58"/>
        <v>207531.11119</v>
      </c>
      <c r="L198" s="49">
        <f t="shared" si="58"/>
        <v>302935.8396</v>
      </c>
      <c r="M198" s="49">
        <f t="shared" si="58"/>
        <v>281649.57</v>
      </c>
      <c r="N198" s="49">
        <f t="shared" si="58"/>
        <v>0</v>
      </c>
      <c r="O198" s="267">
        <f t="shared" si="58"/>
        <v>0</v>
      </c>
    </row>
    <row r="199" spans="1:15" s="230" customFormat="1" ht="56.25">
      <c r="A199" s="492"/>
      <c r="B199" s="488"/>
      <c r="C199" s="45" t="s">
        <v>117</v>
      </c>
      <c r="D199" s="48" t="s">
        <v>110</v>
      </c>
      <c r="E199" s="48"/>
      <c r="F199" s="49">
        <f t="shared" si="47"/>
        <v>356000</v>
      </c>
      <c r="G199" s="49">
        <f>'приложение 8'!D436</f>
        <v>0</v>
      </c>
      <c r="H199" s="49">
        <f>'приложение 8'!E436</f>
        <v>0</v>
      </c>
      <c r="I199" s="49">
        <f>'приложение 8'!F436</f>
        <v>0</v>
      </c>
      <c r="J199" s="49">
        <f>'приложение 8'!G436</f>
        <v>0</v>
      </c>
      <c r="K199" s="49">
        <v>166000</v>
      </c>
      <c r="L199" s="49">
        <v>190000</v>
      </c>
      <c r="M199" s="49">
        <v>0</v>
      </c>
      <c r="N199" s="59">
        <v>0</v>
      </c>
      <c r="O199" s="269">
        <v>0</v>
      </c>
    </row>
    <row r="200" spans="1:15" s="230" customFormat="1" ht="75">
      <c r="A200" s="492"/>
      <c r="B200" s="488"/>
      <c r="C200" s="45" t="s">
        <v>122</v>
      </c>
      <c r="D200" s="48"/>
      <c r="E200" s="48"/>
      <c r="F200" s="49">
        <f t="shared" si="47"/>
        <v>823455.99052</v>
      </c>
      <c r="G200" s="49">
        <f aca="true" t="shared" si="59" ref="G200:O200">G201+G202</f>
        <v>0</v>
      </c>
      <c r="H200" s="49">
        <f t="shared" si="59"/>
        <v>44264.87</v>
      </c>
      <c r="I200" s="49">
        <f t="shared" si="59"/>
        <v>104988</v>
      </c>
      <c r="J200" s="49">
        <f t="shared" si="59"/>
        <v>238086.59973</v>
      </c>
      <c r="K200" s="49">
        <f t="shared" si="59"/>
        <v>41531.11119</v>
      </c>
      <c r="L200" s="49">
        <f t="shared" si="59"/>
        <v>112935.83959999999</v>
      </c>
      <c r="M200" s="49">
        <f t="shared" si="59"/>
        <v>281649.57</v>
      </c>
      <c r="N200" s="49">
        <f t="shared" si="59"/>
        <v>0</v>
      </c>
      <c r="O200" s="267">
        <f t="shared" si="59"/>
        <v>0</v>
      </c>
    </row>
    <row r="201" spans="1:15" s="230" customFormat="1" ht="37.5">
      <c r="A201" s="492"/>
      <c r="B201" s="488"/>
      <c r="C201" s="45" t="s">
        <v>118</v>
      </c>
      <c r="D201" s="48" t="s">
        <v>109</v>
      </c>
      <c r="E201" s="48" t="s">
        <v>228</v>
      </c>
      <c r="F201" s="49">
        <f t="shared" si="47"/>
        <v>76033.17964</v>
      </c>
      <c r="G201" s="49">
        <f>'приложение 8'!D438</f>
        <v>0</v>
      </c>
      <c r="H201" s="49">
        <f>'приложение 8'!E438</f>
        <v>2410</v>
      </c>
      <c r="I201" s="49">
        <f>'приложение 8'!F438</f>
        <v>50988</v>
      </c>
      <c r="J201" s="49">
        <f>'приложение 8'!G438</f>
        <v>5501.148</v>
      </c>
      <c r="K201" s="49">
        <f>1449.50314+233.9+825.3469+942.982</f>
        <v>3451.73204</v>
      </c>
      <c r="L201" s="49">
        <f>682.2996+13000</f>
        <v>13682.2996</v>
      </c>
      <c r="M201" s="49">
        <v>0</v>
      </c>
      <c r="N201" s="59">
        <v>0</v>
      </c>
      <c r="O201" s="269">
        <v>0</v>
      </c>
    </row>
    <row r="202" spans="1:15" s="230" customFormat="1" ht="37.5">
      <c r="A202" s="492"/>
      <c r="B202" s="488"/>
      <c r="C202" s="45" t="s">
        <v>118</v>
      </c>
      <c r="D202" s="48" t="s">
        <v>110</v>
      </c>
      <c r="E202" s="48" t="s">
        <v>228</v>
      </c>
      <c r="F202" s="49">
        <f t="shared" si="47"/>
        <v>747422.81088</v>
      </c>
      <c r="G202" s="49">
        <f>'приложение 8'!D439</f>
        <v>0</v>
      </c>
      <c r="H202" s="49">
        <f>'приложение 8'!E439</f>
        <v>41854.87</v>
      </c>
      <c r="I202" s="49">
        <f>'приложение 8'!F439</f>
        <v>54000</v>
      </c>
      <c r="J202" s="49">
        <f>'приложение 8'!G439</f>
        <v>232585.45173</v>
      </c>
      <c r="K202" s="49">
        <f>15299.225+8800+13980.15415</f>
        <v>38079.37915</v>
      </c>
      <c r="L202" s="49">
        <v>99253.54</v>
      </c>
      <c r="M202" s="296">
        <f>189500+92149.57</f>
        <v>281649.57</v>
      </c>
      <c r="N202" s="59">
        <v>0</v>
      </c>
      <c r="O202" s="269">
        <v>0</v>
      </c>
    </row>
    <row r="203" spans="1:15" s="230" customFormat="1" ht="56.25">
      <c r="A203" s="492"/>
      <c r="B203" s="488"/>
      <c r="C203" s="45" t="s">
        <v>119</v>
      </c>
      <c r="D203" s="48"/>
      <c r="E203" s="48"/>
      <c r="F203" s="49">
        <f t="shared" si="47"/>
        <v>0</v>
      </c>
      <c r="G203" s="49">
        <f>'приложение 8'!D440</f>
        <v>0</v>
      </c>
      <c r="H203" s="49">
        <f>'приложение 8'!E440</f>
        <v>0</v>
      </c>
      <c r="I203" s="49">
        <f>'приложение 8'!F440</f>
        <v>0</v>
      </c>
      <c r="J203" s="49">
        <f>'приложение 8'!G440</f>
        <v>0</v>
      </c>
      <c r="K203" s="49">
        <v>0</v>
      </c>
      <c r="L203" s="49">
        <v>0</v>
      </c>
      <c r="M203" s="49">
        <v>0</v>
      </c>
      <c r="N203" s="59">
        <v>0</v>
      </c>
      <c r="O203" s="269">
        <v>0</v>
      </c>
    </row>
    <row r="204" spans="1:15" s="230" customFormat="1" ht="56.25">
      <c r="A204" s="492"/>
      <c r="B204" s="488"/>
      <c r="C204" s="45" t="s">
        <v>120</v>
      </c>
      <c r="D204" s="48"/>
      <c r="E204" s="48"/>
      <c r="F204" s="49">
        <f t="shared" si="47"/>
        <v>0</v>
      </c>
      <c r="G204" s="49">
        <f>'приложение 8'!D441</f>
        <v>0</v>
      </c>
      <c r="H204" s="49">
        <f>'приложение 8'!E441</f>
        <v>0</v>
      </c>
      <c r="I204" s="49">
        <f>'приложение 8'!F441</f>
        <v>0</v>
      </c>
      <c r="J204" s="49">
        <f>'приложение 8'!G441</f>
        <v>0</v>
      </c>
      <c r="K204" s="49">
        <v>0</v>
      </c>
      <c r="L204" s="49">
        <v>0</v>
      </c>
      <c r="M204" s="49">
        <v>0</v>
      </c>
      <c r="N204" s="59">
        <v>0</v>
      </c>
      <c r="O204" s="269">
        <v>0</v>
      </c>
    </row>
    <row r="205" spans="1:15" s="230" customFormat="1" ht="56.25">
      <c r="A205" s="492"/>
      <c r="B205" s="488"/>
      <c r="C205" s="45" t="s">
        <v>192</v>
      </c>
      <c r="D205" s="48"/>
      <c r="E205" s="48"/>
      <c r="F205" s="49">
        <f t="shared" si="47"/>
        <v>0</v>
      </c>
      <c r="G205" s="49">
        <v>0</v>
      </c>
      <c r="H205" s="49">
        <v>0</v>
      </c>
      <c r="I205" s="49">
        <v>0</v>
      </c>
      <c r="J205" s="49">
        <v>0</v>
      </c>
      <c r="K205" s="49">
        <v>0</v>
      </c>
      <c r="L205" s="49">
        <v>0</v>
      </c>
      <c r="M205" s="49">
        <v>0</v>
      </c>
      <c r="N205" s="59">
        <v>0</v>
      </c>
      <c r="O205" s="269">
        <v>0</v>
      </c>
    </row>
    <row r="206" spans="1:15" s="230" customFormat="1" ht="112.5">
      <c r="A206" s="492"/>
      <c r="B206" s="488"/>
      <c r="C206" s="45" t="s">
        <v>178</v>
      </c>
      <c r="D206" s="48"/>
      <c r="E206" s="48"/>
      <c r="F206" s="49">
        <f t="shared" si="47"/>
        <v>0</v>
      </c>
      <c r="G206" s="49">
        <v>0</v>
      </c>
      <c r="H206" s="49">
        <v>0</v>
      </c>
      <c r="I206" s="49">
        <v>0</v>
      </c>
      <c r="J206" s="49">
        <v>0</v>
      </c>
      <c r="K206" s="49">
        <v>0</v>
      </c>
      <c r="L206" s="49">
        <v>0</v>
      </c>
      <c r="M206" s="49">
        <v>0</v>
      </c>
      <c r="N206" s="59">
        <v>0</v>
      </c>
      <c r="O206" s="269">
        <v>0</v>
      </c>
    </row>
    <row r="207" spans="1:15" s="230" customFormat="1" ht="37.5">
      <c r="A207" s="489" t="s">
        <v>133</v>
      </c>
      <c r="B207" s="488" t="s">
        <v>604</v>
      </c>
      <c r="C207" s="45" t="s">
        <v>116</v>
      </c>
      <c r="D207" s="42"/>
      <c r="E207" s="48"/>
      <c r="F207" s="49">
        <f t="shared" si="47"/>
        <v>1087763.61795</v>
      </c>
      <c r="G207" s="49">
        <f aca="true" t="shared" si="60" ref="G207:O207">G208+G209</f>
        <v>353516.682</v>
      </c>
      <c r="H207" s="49">
        <f t="shared" si="60"/>
        <v>348802.04000000004</v>
      </c>
      <c r="I207" s="49">
        <f t="shared" si="60"/>
        <v>232790.64661999998</v>
      </c>
      <c r="J207" s="49">
        <f t="shared" si="60"/>
        <v>68384.56394</v>
      </c>
      <c r="K207" s="49">
        <f t="shared" si="60"/>
        <v>64701.97539</v>
      </c>
      <c r="L207" s="49">
        <f t="shared" si="60"/>
        <v>19567.71</v>
      </c>
      <c r="M207" s="49">
        <f t="shared" si="60"/>
        <v>0</v>
      </c>
      <c r="N207" s="49">
        <f>N208+N209</f>
        <v>0</v>
      </c>
      <c r="O207" s="267">
        <f t="shared" si="60"/>
        <v>0</v>
      </c>
    </row>
    <row r="208" spans="1:15" s="230" customFormat="1" ht="56.25">
      <c r="A208" s="490"/>
      <c r="B208" s="488"/>
      <c r="C208" s="45" t="s">
        <v>117</v>
      </c>
      <c r="D208" s="48" t="s">
        <v>109</v>
      </c>
      <c r="E208" s="48" t="s">
        <v>228</v>
      </c>
      <c r="F208" s="49">
        <f t="shared" si="47"/>
        <v>125000</v>
      </c>
      <c r="G208" s="49">
        <v>30000</v>
      </c>
      <c r="H208" s="49">
        <v>95000</v>
      </c>
      <c r="I208" s="49">
        <v>0</v>
      </c>
      <c r="J208" s="49">
        <v>0</v>
      </c>
      <c r="K208" s="49">
        <v>0</v>
      </c>
      <c r="L208" s="49">
        <v>0</v>
      </c>
      <c r="M208" s="49">
        <v>0</v>
      </c>
      <c r="N208" s="59">
        <v>0</v>
      </c>
      <c r="O208" s="269">
        <v>0</v>
      </c>
    </row>
    <row r="209" spans="1:15" s="230" customFormat="1" ht="75">
      <c r="A209" s="490"/>
      <c r="B209" s="488"/>
      <c r="C209" s="45" t="s">
        <v>122</v>
      </c>
      <c r="D209" s="42"/>
      <c r="E209" s="48"/>
      <c r="F209" s="49">
        <f t="shared" si="47"/>
        <v>962763.61795</v>
      </c>
      <c r="G209" s="49">
        <v>323516.682</v>
      </c>
      <c r="H209" s="49">
        <v>253802.04</v>
      </c>
      <c r="I209" s="49">
        <v>232790.64661999998</v>
      </c>
      <c r="J209" s="49">
        <v>68384.56394</v>
      </c>
      <c r="K209" s="49">
        <f>K210+K211</f>
        <v>64701.97539</v>
      </c>
      <c r="L209" s="49">
        <f>L210+L211</f>
        <v>19567.71</v>
      </c>
      <c r="M209" s="49">
        <f>M210+M211</f>
        <v>0</v>
      </c>
      <c r="N209" s="49">
        <f>N210+N211</f>
        <v>0</v>
      </c>
      <c r="O209" s="267">
        <f>O210+O211</f>
        <v>0</v>
      </c>
    </row>
    <row r="210" spans="1:15" s="230" customFormat="1" ht="37.5">
      <c r="A210" s="490"/>
      <c r="B210" s="488"/>
      <c r="C210" s="45" t="s">
        <v>118</v>
      </c>
      <c r="D210" s="48" t="s">
        <v>109</v>
      </c>
      <c r="E210" s="48" t="s">
        <v>228</v>
      </c>
      <c r="F210" s="49">
        <f t="shared" si="47"/>
        <v>896167.3276100002</v>
      </c>
      <c r="G210" s="49">
        <v>323120.682</v>
      </c>
      <c r="H210" s="49">
        <v>223758</v>
      </c>
      <c r="I210" s="49">
        <v>223106.22952</v>
      </c>
      <c r="J210" s="49">
        <v>44880.4407</v>
      </c>
      <c r="K210" s="49">
        <f>10205.714+54496.26139</f>
        <v>64701.97539</v>
      </c>
      <c r="L210" s="49">
        <v>16600</v>
      </c>
      <c r="M210" s="49">
        <v>0</v>
      </c>
      <c r="N210" s="59">
        <v>0</v>
      </c>
      <c r="O210" s="269">
        <v>0</v>
      </c>
    </row>
    <row r="211" spans="1:15" s="230" customFormat="1" ht="37.5">
      <c r="A211" s="490"/>
      <c r="B211" s="488"/>
      <c r="C211" s="45" t="s">
        <v>118</v>
      </c>
      <c r="D211" s="48" t="s">
        <v>110</v>
      </c>
      <c r="E211" s="48" t="s">
        <v>228</v>
      </c>
      <c r="F211" s="49">
        <f t="shared" si="47"/>
        <v>66596.29034</v>
      </c>
      <c r="G211" s="49">
        <v>396</v>
      </c>
      <c r="H211" s="49">
        <v>30044.04</v>
      </c>
      <c r="I211" s="49">
        <v>9684.4171</v>
      </c>
      <c r="J211" s="49">
        <v>23504.12324</v>
      </c>
      <c r="K211" s="49">
        <v>0</v>
      </c>
      <c r="L211" s="49">
        <f>2967.71</f>
        <v>2967.71</v>
      </c>
      <c r="M211" s="49">
        <v>0</v>
      </c>
      <c r="N211" s="59">
        <v>0</v>
      </c>
      <c r="O211" s="269">
        <v>0</v>
      </c>
    </row>
    <row r="212" spans="1:15" s="230" customFormat="1" ht="56.25">
      <c r="A212" s="490"/>
      <c r="B212" s="488"/>
      <c r="C212" s="45" t="s">
        <v>119</v>
      </c>
      <c r="D212" s="48"/>
      <c r="E212" s="48"/>
      <c r="F212" s="49">
        <f t="shared" si="47"/>
        <v>0</v>
      </c>
      <c r="G212" s="49">
        <v>0</v>
      </c>
      <c r="H212" s="49">
        <v>0</v>
      </c>
      <c r="I212" s="49">
        <v>0</v>
      </c>
      <c r="J212" s="49">
        <v>0</v>
      </c>
      <c r="K212" s="49">
        <v>0</v>
      </c>
      <c r="L212" s="49">
        <v>0</v>
      </c>
      <c r="M212" s="49">
        <v>0</v>
      </c>
      <c r="N212" s="59">
        <v>0</v>
      </c>
      <c r="O212" s="269">
        <v>0</v>
      </c>
    </row>
    <row r="213" spans="1:15" s="230" customFormat="1" ht="56.25">
      <c r="A213" s="490"/>
      <c r="B213" s="488"/>
      <c r="C213" s="45" t="s">
        <v>120</v>
      </c>
      <c r="D213" s="48"/>
      <c r="E213" s="48"/>
      <c r="F213" s="49">
        <f t="shared" si="47"/>
        <v>0</v>
      </c>
      <c r="G213" s="49">
        <v>0</v>
      </c>
      <c r="H213" s="49">
        <v>0</v>
      </c>
      <c r="I213" s="49">
        <v>0</v>
      </c>
      <c r="J213" s="49">
        <v>0</v>
      </c>
      <c r="K213" s="49">
        <v>0</v>
      </c>
      <c r="L213" s="49">
        <v>0</v>
      </c>
      <c r="M213" s="49">
        <v>0</v>
      </c>
      <c r="N213" s="59">
        <v>0</v>
      </c>
      <c r="O213" s="269">
        <v>0</v>
      </c>
    </row>
    <row r="214" spans="1:15" s="230" customFormat="1" ht="56.25">
      <c r="A214" s="490"/>
      <c r="B214" s="488"/>
      <c r="C214" s="45" t="s">
        <v>192</v>
      </c>
      <c r="D214" s="48"/>
      <c r="E214" s="48"/>
      <c r="F214" s="49">
        <f t="shared" si="47"/>
        <v>0</v>
      </c>
      <c r="G214" s="49">
        <v>0</v>
      </c>
      <c r="H214" s="49">
        <v>0</v>
      </c>
      <c r="I214" s="49">
        <v>0</v>
      </c>
      <c r="J214" s="49">
        <v>0</v>
      </c>
      <c r="K214" s="49">
        <v>0</v>
      </c>
      <c r="L214" s="49">
        <v>0</v>
      </c>
      <c r="M214" s="49">
        <v>0</v>
      </c>
      <c r="N214" s="59">
        <v>0</v>
      </c>
      <c r="O214" s="269">
        <v>0</v>
      </c>
    </row>
    <row r="215" spans="1:15" s="230" customFormat="1" ht="112.5">
      <c r="A215" s="490"/>
      <c r="B215" s="491"/>
      <c r="C215" s="262" t="s">
        <v>178</v>
      </c>
      <c r="D215" s="263"/>
      <c r="E215" s="263"/>
      <c r="F215" s="49">
        <f t="shared" si="47"/>
        <v>0</v>
      </c>
      <c r="G215" s="264">
        <v>0</v>
      </c>
      <c r="H215" s="264">
        <v>0</v>
      </c>
      <c r="I215" s="264">
        <v>0</v>
      </c>
      <c r="J215" s="264">
        <v>0</v>
      </c>
      <c r="K215" s="264">
        <v>0</v>
      </c>
      <c r="L215" s="264">
        <v>0</v>
      </c>
      <c r="M215" s="264">
        <v>0</v>
      </c>
      <c r="N215" s="274">
        <v>0</v>
      </c>
      <c r="O215" s="270">
        <v>0</v>
      </c>
    </row>
    <row r="216" spans="1:15" s="230" customFormat="1" ht="37.5">
      <c r="A216" s="492" t="s">
        <v>167</v>
      </c>
      <c r="B216" s="488" t="s">
        <v>587</v>
      </c>
      <c r="C216" s="45" t="s">
        <v>116</v>
      </c>
      <c r="D216" s="42"/>
      <c r="E216" s="48"/>
      <c r="F216" s="49">
        <f t="shared" si="47"/>
        <v>10384.80248</v>
      </c>
      <c r="G216" s="49">
        <f>G217+G219+G220+G221+G222+G223</f>
        <v>0</v>
      </c>
      <c r="H216" s="49">
        <f aca="true" t="shared" si="61" ref="H216:O216">H217+H219+H220+H221+H222+H223</f>
        <v>0</v>
      </c>
      <c r="I216" s="49">
        <f t="shared" si="61"/>
        <v>0</v>
      </c>
      <c r="J216" s="49">
        <f t="shared" si="61"/>
        <v>0</v>
      </c>
      <c r="K216" s="49">
        <f t="shared" si="61"/>
        <v>10384.80248</v>
      </c>
      <c r="L216" s="49">
        <f t="shared" si="61"/>
        <v>0</v>
      </c>
      <c r="M216" s="49">
        <f t="shared" si="61"/>
        <v>0</v>
      </c>
      <c r="N216" s="49">
        <f>N217+N219+N220+N221+N222+N223</f>
        <v>0</v>
      </c>
      <c r="O216" s="267">
        <f t="shared" si="61"/>
        <v>0</v>
      </c>
    </row>
    <row r="217" spans="1:15" s="230" customFormat="1" ht="56.25">
      <c r="A217" s="487"/>
      <c r="B217" s="488"/>
      <c r="C217" s="45" t="s">
        <v>117</v>
      </c>
      <c r="D217" s="48" t="s">
        <v>109</v>
      </c>
      <c r="E217" s="48" t="s">
        <v>228</v>
      </c>
      <c r="F217" s="49">
        <f aca="true" t="shared" si="62" ref="F217:F302">G217+H217+I217+J217+K217+L217+M217+O217+N217</f>
        <v>0</v>
      </c>
      <c r="G217" s="49">
        <f>'приложение 8'!D654</f>
        <v>0</v>
      </c>
      <c r="H217" s="49">
        <f>'приложение 8'!E654</f>
        <v>0</v>
      </c>
      <c r="I217" s="49">
        <f>-'приложение 8'!F653</f>
        <v>0</v>
      </c>
      <c r="J217" s="49">
        <f>'приложение 8'!G654</f>
        <v>0</v>
      </c>
      <c r="K217" s="49">
        <v>0</v>
      </c>
      <c r="L217" s="49">
        <v>0</v>
      </c>
      <c r="M217" s="49">
        <v>0</v>
      </c>
      <c r="N217" s="59">
        <v>0</v>
      </c>
      <c r="O217" s="269">
        <v>0</v>
      </c>
    </row>
    <row r="218" spans="1:15" s="230" customFormat="1" ht="75" hidden="1">
      <c r="A218" s="487"/>
      <c r="B218" s="488"/>
      <c r="C218" s="45" t="s">
        <v>122</v>
      </c>
      <c r="D218" s="42"/>
      <c r="E218" s="48"/>
      <c r="F218" s="49">
        <f t="shared" si="62"/>
        <v>23131.43</v>
      </c>
      <c r="G218" s="49">
        <f>G219</f>
        <v>0</v>
      </c>
      <c r="H218" s="49">
        <f>H219</f>
        <v>0</v>
      </c>
      <c r="I218" s="49">
        <f>I219</f>
        <v>0</v>
      </c>
      <c r="J218" s="49">
        <f>J219</f>
        <v>0</v>
      </c>
      <c r="K218" s="49">
        <v>23131.43</v>
      </c>
      <c r="L218" s="49">
        <v>0</v>
      </c>
      <c r="M218" s="49">
        <v>0</v>
      </c>
      <c r="N218" s="59">
        <v>0</v>
      </c>
      <c r="O218" s="269">
        <v>0</v>
      </c>
    </row>
    <row r="219" spans="1:15" s="232" customFormat="1" ht="37.5">
      <c r="A219" s="487"/>
      <c r="B219" s="488"/>
      <c r="C219" s="45" t="s">
        <v>118</v>
      </c>
      <c r="D219" s="48" t="s">
        <v>110</v>
      </c>
      <c r="E219" s="48" t="s">
        <v>228</v>
      </c>
      <c r="F219" s="49">
        <f t="shared" si="62"/>
        <v>10384.80248</v>
      </c>
      <c r="G219" s="49">
        <f>'приложение 8'!D655</f>
        <v>0</v>
      </c>
      <c r="H219" s="49">
        <f>'приложение 8'!E655</f>
        <v>0</v>
      </c>
      <c r="I219" s="49"/>
      <c r="J219" s="49">
        <f>'приложение 8'!G655</f>
        <v>0</v>
      </c>
      <c r="K219" s="49">
        <f>10384.80248</f>
        <v>10384.80248</v>
      </c>
      <c r="L219" s="49">
        <v>0</v>
      </c>
      <c r="M219" s="49">
        <v>0</v>
      </c>
      <c r="N219" s="59">
        <v>0</v>
      </c>
      <c r="O219" s="269">
        <v>0</v>
      </c>
    </row>
    <row r="220" spans="1:15" s="230" customFormat="1" ht="56.25">
      <c r="A220" s="487"/>
      <c r="B220" s="488"/>
      <c r="C220" s="45" t="s">
        <v>119</v>
      </c>
      <c r="D220" s="48"/>
      <c r="E220" s="48"/>
      <c r="F220" s="49">
        <f t="shared" si="62"/>
        <v>0</v>
      </c>
      <c r="G220" s="49">
        <f>'приложение 8'!D656</f>
        <v>0</v>
      </c>
      <c r="H220" s="49">
        <f>'приложение 8'!E656</f>
        <v>0</v>
      </c>
      <c r="I220" s="49">
        <f>'приложение 8'!F656</f>
        <v>0</v>
      </c>
      <c r="J220" s="49">
        <f>'приложение 8'!G656</f>
        <v>0</v>
      </c>
      <c r="K220" s="49">
        <v>0</v>
      </c>
      <c r="L220" s="49">
        <v>0</v>
      </c>
      <c r="M220" s="49">
        <v>0</v>
      </c>
      <c r="N220" s="59">
        <v>0</v>
      </c>
      <c r="O220" s="269">
        <v>0</v>
      </c>
    </row>
    <row r="221" spans="1:15" s="230" customFormat="1" ht="56.25">
      <c r="A221" s="487"/>
      <c r="B221" s="488"/>
      <c r="C221" s="45" t="s">
        <v>120</v>
      </c>
      <c r="D221" s="48"/>
      <c r="E221" s="48"/>
      <c r="F221" s="49">
        <f t="shared" si="62"/>
        <v>0</v>
      </c>
      <c r="G221" s="49">
        <f>'приложение 8'!D657</f>
        <v>0</v>
      </c>
      <c r="H221" s="49">
        <f>'приложение 8'!E657</f>
        <v>0</v>
      </c>
      <c r="I221" s="49">
        <f>'приложение 8'!F657</f>
        <v>0</v>
      </c>
      <c r="J221" s="49">
        <f>'приложение 8'!G657</f>
        <v>0</v>
      </c>
      <c r="K221" s="49">
        <v>0</v>
      </c>
      <c r="L221" s="49">
        <v>0</v>
      </c>
      <c r="M221" s="49">
        <v>0</v>
      </c>
      <c r="N221" s="59">
        <v>0</v>
      </c>
      <c r="O221" s="269">
        <v>0</v>
      </c>
    </row>
    <row r="222" spans="1:15" s="230" customFormat="1" ht="56.25">
      <c r="A222" s="487"/>
      <c r="B222" s="488"/>
      <c r="C222" s="45" t="s">
        <v>192</v>
      </c>
      <c r="D222" s="48"/>
      <c r="E222" s="48"/>
      <c r="F222" s="49">
        <f t="shared" si="62"/>
        <v>0</v>
      </c>
      <c r="G222" s="49">
        <v>0</v>
      </c>
      <c r="H222" s="49">
        <v>0</v>
      </c>
      <c r="I222" s="49">
        <v>0</v>
      </c>
      <c r="J222" s="49">
        <v>0</v>
      </c>
      <c r="K222" s="49">
        <v>0</v>
      </c>
      <c r="L222" s="49">
        <v>0</v>
      </c>
      <c r="M222" s="49">
        <v>0</v>
      </c>
      <c r="N222" s="59">
        <v>0</v>
      </c>
      <c r="O222" s="269">
        <v>0</v>
      </c>
    </row>
    <row r="223" spans="1:15" s="230" customFormat="1" ht="112.5">
      <c r="A223" s="487"/>
      <c r="B223" s="488"/>
      <c r="C223" s="45" t="s">
        <v>178</v>
      </c>
      <c r="D223" s="48"/>
      <c r="E223" s="48"/>
      <c r="F223" s="49">
        <f t="shared" si="62"/>
        <v>0</v>
      </c>
      <c r="G223" s="49">
        <v>0</v>
      </c>
      <c r="H223" s="49">
        <v>0</v>
      </c>
      <c r="I223" s="49">
        <v>0</v>
      </c>
      <c r="J223" s="49">
        <v>0</v>
      </c>
      <c r="K223" s="49">
        <v>0</v>
      </c>
      <c r="L223" s="49">
        <v>0</v>
      </c>
      <c r="M223" s="49">
        <v>0</v>
      </c>
      <c r="N223" s="59">
        <v>0</v>
      </c>
      <c r="O223" s="269">
        <v>0</v>
      </c>
    </row>
    <row r="224" spans="1:15" s="230" customFormat="1" ht="37.5">
      <c r="A224" s="487" t="s">
        <v>571</v>
      </c>
      <c r="B224" s="488" t="s">
        <v>660</v>
      </c>
      <c r="C224" s="45" t="s">
        <v>116</v>
      </c>
      <c r="D224" s="48"/>
      <c r="E224" s="48"/>
      <c r="F224" s="49">
        <f t="shared" si="62"/>
        <v>1601111.71208</v>
      </c>
      <c r="G224" s="49">
        <f>G235</f>
        <v>0</v>
      </c>
      <c r="H224" s="49">
        <f aca="true" t="shared" si="63" ref="H224:O224">H235</f>
        <v>0</v>
      </c>
      <c r="I224" s="49">
        <f t="shared" si="63"/>
        <v>0</v>
      </c>
      <c r="J224" s="49">
        <f t="shared" si="63"/>
        <v>0</v>
      </c>
      <c r="K224" s="49">
        <f t="shared" si="63"/>
        <v>0</v>
      </c>
      <c r="L224" s="49">
        <f t="shared" si="63"/>
        <v>200000</v>
      </c>
      <c r="M224" s="49">
        <f t="shared" si="63"/>
        <v>592033.61208</v>
      </c>
      <c r="N224" s="49">
        <f>N235</f>
        <v>204626</v>
      </c>
      <c r="O224" s="268">
        <f t="shared" si="63"/>
        <v>604452.1</v>
      </c>
    </row>
    <row r="225" spans="1:15" s="230" customFormat="1" ht="75">
      <c r="A225" s="487"/>
      <c r="B225" s="488"/>
      <c r="C225" s="45" t="s">
        <v>651</v>
      </c>
      <c r="D225" s="48"/>
      <c r="E225" s="48"/>
      <c r="F225" s="49">
        <f aca="true" t="shared" si="64" ref="F225:K225">F226+F227</f>
        <v>1520874.1</v>
      </c>
      <c r="G225" s="49">
        <f t="shared" si="64"/>
        <v>0</v>
      </c>
      <c r="H225" s="49">
        <f t="shared" si="64"/>
        <v>0</v>
      </c>
      <c r="I225" s="49">
        <f t="shared" si="64"/>
        <v>0</v>
      </c>
      <c r="J225" s="49">
        <f t="shared" si="64"/>
        <v>0</v>
      </c>
      <c r="K225" s="49">
        <f t="shared" si="64"/>
        <v>0</v>
      </c>
      <c r="L225" s="49">
        <f>L226+L227</f>
        <v>190000</v>
      </c>
      <c r="M225" s="49">
        <f>M226+M227</f>
        <v>532500</v>
      </c>
      <c r="N225" s="49">
        <f>N226+N227</f>
        <v>193922</v>
      </c>
      <c r="O225" s="49">
        <f>O226+O227</f>
        <v>604452.1</v>
      </c>
    </row>
    <row r="226" spans="1:15" s="230" customFormat="1" ht="56.25">
      <c r="A226" s="487"/>
      <c r="B226" s="488"/>
      <c r="C226" s="45" t="s">
        <v>117</v>
      </c>
      <c r="D226" s="48" t="s">
        <v>110</v>
      </c>
      <c r="E226" s="48"/>
      <c r="F226" s="49">
        <f t="shared" si="62"/>
        <v>1320874.1</v>
      </c>
      <c r="G226" s="49">
        <f>G236</f>
        <v>0</v>
      </c>
      <c r="H226" s="49">
        <f>H236</f>
        <v>0</v>
      </c>
      <c r="I226" s="49">
        <f>I236</f>
        <v>0</v>
      </c>
      <c r="J226" s="49">
        <f>J236</f>
        <v>0</v>
      </c>
      <c r="K226" s="49">
        <f>K236</f>
        <v>0</v>
      </c>
      <c r="L226" s="49">
        <f>L252</f>
        <v>190000</v>
      </c>
      <c r="M226" s="49">
        <f>M252</f>
        <v>332500</v>
      </c>
      <c r="N226" s="49">
        <f>N236</f>
        <v>193922</v>
      </c>
      <c r="O226" s="268">
        <f>O236</f>
        <v>604452.1</v>
      </c>
    </row>
    <row r="227" spans="1:15" s="230" customFormat="1" ht="56.25">
      <c r="A227" s="487"/>
      <c r="B227" s="488"/>
      <c r="C227" s="45" t="s">
        <v>117</v>
      </c>
      <c r="D227" s="48" t="s">
        <v>109</v>
      </c>
      <c r="E227" s="48"/>
      <c r="F227" s="49">
        <f t="shared" si="62"/>
        <v>200000</v>
      </c>
      <c r="G227" s="49">
        <f aca="true" t="shared" si="65" ref="G227:L227">G243</f>
        <v>0</v>
      </c>
      <c r="H227" s="49">
        <f t="shared" si="65"/>
        <v>0</v>
      </c>
      <c r="I227" s="49">
        <f t="shared" si="65"/>
        <v>0</v>
      </c>
      <c r="J227" s="49">
        <f t="shared" si="65"/>
        <v>0</v>
      </c>
      <c r="K227" s="49">
        <f t="shared" si="65"/>
        <v>0</v>
      </c>
      <c r="L227" s="49">
        <f t="shared" si="65"/>
        <v>0</v>
      </c>
      <c r="M227" s="49">
        <f>M243</f>
        <v>200000</v>
      </c>
      <c r="N227" s="49">
        <f>N243</f>
        <v>0</v>
      </c>
      <c r="O227" s="49">
        <f>O243</f>
        <v>0</v>
      </c>
    </row>
    <row r="228" spans="1:15" s="230" customFormat="1" ht="75">
      <c r="A228" s="487"/>
      <c r="B228" s="488"/>
      <c r="C228" s="45" t="s">
        <v>122</v>
      </c>
      <c r="D228" s="48"/>
      <c r="E228" s="48"/>
      <c r="F228" s="49">
        <f t="shared" si="62"/>
        <v>80237.61207999999</v>
      </c>
      <c r="G228" s="49">
        <f aca="true" t="shared" si="66" ref="G228:L228">G229+G230</f>
        <v>0</v>
      </c>
      <c r="H228" s="49">
        <f t="shared" si="66"/>
        <v>0</v>
      </c>
      <c r="I228" s="49">
        <f t="shared" si="66"/>
        <v>0</v>
      </c>
      <c r="J228" s="49">
        <f t="shared" si="66"/>
        <v>0</v>
      </c>
      <c r="K228" s="49">
        <f t="shared" si="66"/>
        <v>0</v>
      </c>
      <c r="L228" s="49">
        <f t="shared" si="66"/>
        <v>10000</v>
      </c>
      <c r="M228" s="49">
        <f>M229+M230</f>
        <v>59533.61208</v>
      </c>
      <c r="N228" s="49">
        <f>N229+N230</f>
        <v>10704</v>
      </c>
      <c r="O228" s="49">
        <f>O229+O230</f>
        <v>0</v>
      </c>
    </row>
    <row r="229" spans="1:15" s="230" customFormat="1" ht="37.5">
      <c r="A229" s="487"/>
      <c r="B229" s="488"/>
      <c r="C229" s="45" t="s">
        <v>118</v>
      </c>
      <c r="D229" s="48" t="s">
        <v>110</v>
      </c>
      <c r="E229" s="48"/>
      <c r="F229" s="49">
        <f t="shared" si="62"/>
        <v>38204</v>
      </c>
      <c r="G229" s="49">
        <f aca="true" t="shared" si="67" ref="G229:O229">G254</f>
        <v>0</v>
      </c>
      <c r="H229" s="49">
        <f t="shared" si="67"/>
        <v>0</v>
      </c>
      <c r="I229" s="49">
        <f t="shared" si="67"/>
        <v>0</v>
      </c>
      <c r="J229" s="49">
        <f t="shared" si="67"/>
        <v>0</v>
      </c>
      <c r="K229" s="49">
        <f t="shared" si="67"/>
        <v>0</v>
      </c>
      <c r="L229" s="49">
        <f t="shared" si="67"/>
        <v>10000</v>
      </c>
      <c r="M229" s="49">
        <f t="shared" si="67"/>
        <v>17500</v>
      </c>
      <c r="N229" s="49">
        <f t="shared" si="67"/>
        <v>10704</v>
      </c>
      <c r="O229" s="49">
        <f t="shared" si="67"/>
        <v>0</v>
      </c>
    </row>
    <row r="230" spans="1:15" s="230" customFormat="1" ht="37.5">
      <c r="A230" s="487"/>
      <c r="B230" s="488"/>
      <c r="C230" s="45" t="s">
        <v>118</v>
      </c>
      <c r="D230" s="48" t="s">
        <v>109</v>
      </c>
      <c r="E230" s="48"/>
      <c r="F230" s="49">
        <f t="shared" si="62"/>
        <v>42033.61208</v>
      </c>
      <c r="G230" s="49">
        <f>G245</f>
        <v>0</v>
      </c>
      <c r="H230" s="49">
        <f>H245</f>
        <v>0</v>
      </c>
      <c r="I230" s="49">
        <f>I245</f>
        <v>0</v>
      </c>
      <c r="J230" s="49">
        <f>J245</f>
        <v>0</v>
      </c>
      <c r="K230" s="49">
        <f>K245</f>
        <v>0</v>
      </c>
      <c r="L230" s="49">
        <v>0</v>
      </c>
      <c r="M230" s="49">
        <f>M245</f>
        <v>42033.61208</v>
      </c>
      <c r="N230" s="49">
        <f>N245</f>
        <v>0</v>
      </c>
      <c r="O230" s="49">
        <f>O245</f>
        <v>0</v>
      </c>
    </row>
    <row r="231" spans="1:15" s="230" customFormat="1" ht="56.25">
      <c r="A231" s="487"/>
      <c r="B231" s="488"/>
      <c r="C231" s="45" t="s">
        <v>119</v>
      </c>
      <c r="D231" s="48"/>
      <c r="E231" s="48"/>
      <c r="F231" s="49">
        <f t="shared" si="62"/>
        <v>0</v>
      </c>
      <c r="G231" s="49">
        <f aca="true" t="shared" si="68" ref="G231:O234">G238</f>
        <v>0</v>
      </c>
      <c r="H231" s="49">
        <f t="shared" si="68"/>
        <v>0</v>
      </c>
      <c r="I231" s="49">
        <f t="shared" si="68"/>
        <v>0</v>
      </c>
      <c r="J231" s="49">
        <f t="shared" si="68"/>
        <v>0</v>
      </c>
      <c r="K231" s="49">
        <f t="shared" si="68"/>
        <v>0</v>
      </c>
      <c r="L231" s="49">
        <f t="shared" si="68"/>
        <v>0</v>
      </c>
      <c r="M231" s="49">
        <f t="shared" si="68"/>
        <v>0</v>
      </c>
      <c r="N231" s="49">
        <f>N238</f>
        <v>0</v>
      </c>
      <c r="O231" s="268">
        <f t="shared" si="68"/>
        <v>0</v>
      </c>
    </row>
    <row r="232" spans="1:15" s="230" customFormat="1" ht="56.25">
      <c r="A232" s="487"/>
      <c r="B232" s="488"/>
      <c r="C232" s="45" t="s">
        <v>120</v>
      </c>
      <c r="D232" s="48"/>
      <c r="E232" s="48"/>
      <c r="F232" s="49">
        <f t="shared" si="62"/>
        <v>0</v>
      </c>
      <c r="G232" s="49">
        <f t="shared" si="68"/>
        <v>0</v>
      </c>
      <c r="H232" s="49">
        <f t="shared" si="68"/>
        <v>0</v>
      </c>
      <c r="I232" s="49">
        <f t="shared" si="68"/>
        <v>0</v>
      </c>
      <c r="J232" s="49">
        <f t="shared" si="68"/>
        <v>0</v>
      </c>
      <c r="K232" s="49">
        <f t="shared" si="68"/>
        <v>0</v>
      </c>
      <c r="L232" s="49">
        <f t="shared" si="68"/>
        <v>0</v>
      </c>
      <c r="M232" s="49">
        <f t="shared" si="68"/>
        <v>0</v>
      </c>
      <c r="N232" s="49">
        <f>N239</f>
        <v>0</v>
      </c>
      <c r="O232" s="268">
        <f t="shared" si="68"/>
        <v>0</v>
      </c>
    </row>
    <row r="233" spans="1:15" s="230" customFormat="1" ht="56.25">
      <c r="A233" s="487"/>
      <c r="B233" s="488"/>
      <c r="C233" s="45" t="s">
        <v>192</v>
      </c>
      <c r="D233" s="48"/>
      <c r="E233" s="48"/>
      <c r="F233" s="49">
        <f t="shared" si="62"/>
        <v>0</v>
      </c>
      <c r="G233" s="49">
        <f t="shared" si="68"/>
        <v>0</v>
      </c>
      <c r="H233" s="49">
        <f t="shared" si="68"/>
        <v>0</v>
      </c>
      <c r="I233" s="49">
        <f t="shared" si="68"/>
        <v>0</v>
      </c>
      <c r="J233" s="49">
        <f t="shared" si="68"/>
        <v>0</v>
      </c>
      <c r="K233" s="49">
        <f t="shared" si="68"/>
        <v>0</v>
      </c>
      <c r="L233" s="49">
        <f t="shared" si="68"/>
        <v>0</v>
      </c>
      <c r="M233" s="49">
        <f t="shared" si="68"/>
        <v>0</v>
      </c>
      <c r="N233" s="49">
        <f>N240</f>
        <v>0</v>
      </c>
      <c r="O233" s="268">
        <f t="shared" si="68"/>
        <v>0</v>
      </c>
    </row>
    <row r="234" spans="1:15" s="230" customFormat="1" ht="112.5">
      <c r="A234" s="487"/>
      <c r="B234" s="488"/>
      <c r="C234" s="45" t="s">
        <v>178</v>
      </c>
      <c r="D234" s="48"/>
      <c r="E234" s="48"/>
      <c r="F234" s="49">
        <f t="shared" si="62"/>
        <v>0</v>
      </c>
      <c r="G234" s="49">
        <f t="shared" si="68"/>
        <v>0</v>
      </c>
      <c r="H234" s="49">
        <f t="shared" si="68"/>
        <v>0</v>
      </c>
      <c r="I234" s="49">
        <f t="shared" si="68"/>
        <v>0</v>
      </c>
      <c r="J234" s="49">
        <f t="shared" si="68"/>
        <v>0</v>
      </c>
      <c r="K234" s="49">
        <f t="shared" si="68"/>
        <v>0</v>
      </c>
      <c r="L234" s="49">
        <f t="shared" si="68"/>
        <v>0</v>
      </c>
      <c r="M234" s="49">
        <f t="shared" si="68"/>
        <v>0</v>
      </c>
      <c r="N234" s="49">
        <f>N241</f>
        <v>0</v>
      </c>
      <c r="O234" s="268">
        <f t="shared" si="68"/>
        <v>0</v>
      </c>
    </row>
    <row r="235" spans="1:15" s="230" customFormat="1" ht="37.5">
      <c r="A235" s="487" t="s">
        <v>601</v>
      </c>
      <c r="B235" s="488" t="s">
        <v>605</v>
      </c>
      <c r="C235" s="45" t="s">
        <v>116</v>
      </c>
      <c r="D235" s="48"/>
      <c r="E235" s="48"/>
      <c r="F235" s="49">
        <f t="shared" si="62"/>
        <v>1601111.71208</v>
      </c>
      <c r="G235" s="49">
        <f>SUM(G236:G241)</f>
        <v>0</v>
      </c>
      <c r="H235" s="49">
        <f aca="true" t="shared" si="69" ref="H235:O235">SUM(H236:H241)</f>
        <v>0</v>
      </c>
      <c r="I235" s="49">
        <f t="shared" si="69"/>
        <v>0</v>
      </c>
      <c r="J235" s="49">
        <f t="shared" si="69"/>
        <v>0</v>
      </c>
      <c r="K235" s="49">
        <f t="shared" si="69"/>
        <v>0</v>
      </c>
      <c r="L235" s="49">
        <f t="shared" si="69"/>
        <v>200000</v>
      </c>
      <c r="M235" s="49">
        <f t="shared" si="69"/>
        <v>592033.61208</v>
      </c>
      <c r="N235" s="49">
        <f>SUM(N236:N241)</f>
        <v>204626</v>
      </c>
      <c r="O235" s="268">
        <f t="shared" si="69"/>
        <v>604452.1</v>
      </c>
    </row>
    <row r="236" spans="1:15" s="230" customFormat="1" ht="56.25">
      <c r="A236" s="487"/>
      <c r="B236" s="488"/>
      <c r="C236" s="45" t="s">
        <v>117</v>
      </c>
      <c r="D236" s="48"/>
      <c r="E236" s="48"/>
      <c r="F236" s="49">
        <f t="shared" si="62"/>
        <v>1520874.1</v>
      </c>
      <c r="G236" s="49">
        <v>0</v>
      </c>
      <c r="H236" s="49">
        <v>0</v>
      </c>
      <c r="I236" s="49">
        <v>0</v>
      </c>
      <c r="J236" s="49">
        <v>0</v>
      </c>
      <c r="K236" s="49">
        <v>0</v>
      </c>
      <c r="L236" s="49">
        <v>190000</v>
      </c>
      <c r="M236" s="85">
        <f>M243+M252</f>
        <v>532500</v>
      </c>
      <c r="N236" s="49">
        <f>N243+N252</f>
        <v>193922</v>
      </c>
      <c r="O236" s="269">
        <f>348590+255862.1</f>
        <v>604452.1</v>
      </c>
    </row>
    <row r="237" spans="1:15" s="230" customFormat="1" ht="37.5">
      <c r="A237" s="487"/>
      <c r="B237" s="488"/>
      <c r="C237" s="45" t="s">
        <v>118</v>
      </c>
      <c r="D237" s="48"/>
      <c r="E237" s="48"/>
      <c r="F237" s="49">
        <f t="shared" si="62"/>
        <v>80237.61207999999</v>
      </c>
      <c r="G237" s="49">
        <v>0</v>
      </c>
      <c r="H237" s="49">
        <v>0</v>
      </c>
      <c r="I237" s="49">
        <v>0</v>
      </c>
      <c r="J237" s="49">
        <v>0</v>
      </c>
      <c r="K237" s="49">
        <v>0</v>
      </c>
      <c r="L237" s="49">
        <v>10000</v>
      </c>
      <c r="M237" s="85">
        <f>M245+M254</f>
        <v>59533.61208</v>
      </c>
      <c r="N237" s="49">
        <f>N245+N254</f>
        <v>10704</v>
      </c>
      <c r="O237" s="268">
        <v>0</v>
      </c>
    </row>
    <row r="238" spans="1:15" s="230" customFormat="1" ht="56.25">
      <c r="A238" s="487"/>
      <c r="B238" s="488"/>
      <c r="C238" s="45" t="s">
        <v>119</v>
      </c>
      <c r="D238" s="48"/>
      <c r="E238" s="48"/>
      <c r="F238" s="49">
        <f t="shared" si="62"/>
        <v>0</v>
      </c>
      <c r="G238" s="49">
        <v>0</v>
      </c>
      <c r="H238" s="49">
        <v>0</v>
      </c>
      <c r="I238" s="49">
        <v>0</v>
      </c>
      <c r="J238" s="49">
        <v>0</v>
      </c>
      <c r="K238" s="49">
        <v>0</v>
      </c>
      <c r="L238" s="49">
        <v>0</v>
      </c>
      <c r="M238" s="49">
        <v>0</v>
      </c>
      <c r="N238" s="49">
        <v>0</v>
      </c>
      <c r="O238" s="268">
        <v>0</v>
      </c>
    </row>
    <row r="239" spans="1:15" s="230" customFormat="1" ht="56.25">
      <c r="A239" s="487"/>
      <c r="B239" s="488"/>
      <c r="C239" s="45" t="s">
        <v>120</v>
      </c>
      <c r="D239" s="48"/>
      <c r="E239" s="48"/>
      <c r="F239" s="49">
        <f t="shared" si="62"/>
        <v>0</v>
      </c>
      <c r="G239" s="49">
        <v>0</v>
      </c>
      <c r="H239" s="49">
        <v>0</v>
      </c>
      <c r="I239" s="49">
        <v>0</v>
      </c>
      <c r="J239" s="49">
        <v>0</v>
      </c>
      <c r="K239" s="49">
        <v>0</v>
      </c>
      <c r="L239" s="49">
        <v>0</v>
      </c>
      <c r="M239" s="49">
        <v>0</v>
      </c>
      <c r="N239" s="49">
        <v>0</v>
      </c>
      <c r="O239" s="268">
        <v>0</v>
      </c>
    </row>
    <row r="240" spans="1:15" s="230" customFormat="1" ht="56.25">
      <c r="A240" s="487"/>
      <c r="B240" s="488"/>
      <c r="C240" s="45" t="s">
        <v>192</v>
      </c>
      <c r="D240" s="48"/>
      <c r="E240" s="48"/>
      <c r="F240" s="49">
        <f t="shared" si="62"/>
        <v>0</v>
      </c>
      <c r="G240" s="49">
        <v>0</v>
      </c>
      <c r="H240" s="49">
        <v>0</v>
      </c>
      <c r="I240" s="49">
        <v>0</v>
      </c>
      <c r="J240" s="49">
        <v>0</v>
      </c>
      <c r="K240" s="49">
        <v>0</v>
      </c>
      <c r="L240" s="49">
        <v>0</v>
      </c>
      <c r="M240" s="49">
        <v>0</v>
      </c>
      <c r="N240" s="49">
        <v>0</v>
      </c>
      <c r="O240" s="268">
        <v>0</v>
      </c>
    </row>
    <row r="241" spans="1:15" s="230" customFormat="1" ht="112.5">
      <c r="A241" s="487"/>
      <c r="B241" s="488"/>
      <c r="C241" s="45" t="s">
        <v>178</v>
      </c>
      <c r="D241" s="48"/>
      <c r="E241" s="48"/>
      <c r="F241" s="49">
        <f t="shared" si="62"/>
        <v>0</v>
      </c>
      <c r="G241" s="49">
        <v>0</v>
      </c>
      <c r="H241" s="49">
        <v>0</v>
      </c>
      <c r="I241" s="49">
        <v>0</v>
      </c>
      <c r="J241" s="49">
        <v>0</v>
      </c>
      <c r="K241" s="49">
        <v>0</v>
      </c>
      <c r="L241" s="49">
        <v>0</v>
      </c>
      <c r="M241" s="49">
        <v>0</v>
      </c>
      <c r="N241" s="49">
        <v>0</v>
      </c>
      <c r="O241" s="268">
        <v>0</v>
      </c>
    </row>
    <row r="242" spans="1:15" s="230" customFormat="1" ht="37.5">
      <c r="A242" s="494" t="s">
        <v>613</v>
      </c>
      <c r="B242" s="488" t="s">
        <v>614</v>
      </c>
      <c r="C242" s="45" t="s">
        <v>116</v>
      </c>
      <c r="D242" s="42"/>
      <c r="E242" s="48"/>
      <c r="F242" s="49">
        <f aca="true" t="shared" si="70" ref="F242:F259">G242+H242+I242+J242+K242+L242+M242+O242+N242</f>
        <v>242033.61208</v>
      </c>
      <c r="G242" s="49">
        <f aca="true" t="shared" si="71" ref="G242:O242">G243+G244</f>
        <v>0</v>
      </c>
      <c r="H242" s="49">
        <f t="shared" si="71"/>
        <v>0</v>
      </c>
      <c r="I242" s="49">
        <f t="shared" si="71"/>
        <v>0</v>
      </c>
      <c r="J242" s="49">
        <f t="shared" si="71"/>
        <v>0</v>
      </c>
      <c r="K242" s="49">
        <f t="shared" si="71"/>
        <v>0</v>
      </c>
      <c r="L242" s="49">
        <f t="shared" si="71"/>
        <v>0</v>
      </c>
      <c r="M242" s="49">
        <f t="shared" si="71"/>
        <v>242033.61208</v>
      </c>
      <c r="N242" s="49">
        <f>N243+N244</f>
        <v>0</v>
      </c>
      <c r="O242" s="268">
        <f t="shared" si="71"/>
        <v>0</v>
      </c>
    </row>
    <row r="243" spans="1:15" s="230" customFormat="1" ht="56.25">
      <c r="A243" s="494"/>
      <c r="B243" s="488"/>
      <c r="C243" s="45" t="s">
        <v>117</v>
      </c>
      <c r="D243" s="48" t="s">
        <v>109</v>
      </c>
      <c r="E243" s="48" t="s">
        <v>228</v>
      </c>
      <c r="F243" s="49">
        <f t="shared" si="70"/>
        <v>200000</v>
      </c>
      <c r="G243" s="49">
        <v>0</v>
      </c>
      <c r="H243" s="49">
        <v>0</v>
      </c>
      <c r="I243" s="49">
        <f>'приложение 8'!F555</f>
        <v>0</v>
      </c>
      <c r="J243" s="49">
        <f>'приложение 8'!G555</f>
        <v>0</v>
      </c>
      <c r="K243" s="49">
        <v>0</v>
      </c>
      <c r="L243" s="49">
        <v>0</v>
      </c>
      <c r="M243" s="85">
        <v>200000</v>
      </c>
      <c r="N243" s="59">
        <v>0</v>
      </c>
      <c r="O243" s="271">
        <v>0</v>
      </c>
    </row>
    <row r="244" spans="1:15" s="230" customFormat="1" ht="75">
      <c r="A244" s="494"/>
      <c r="B244" s="488"/>
      <c r="C244" s="45" t="s">
        <v>122</v>
      </c>
      <c r="D244" s="42"/>
      <c r="E244" s="48"/>
      <c r="F244" s="49">
        <f t="shared" si="70"/>
        <v>42033.61208</v>
      </c>
      <c r="G244" s="49">
        <f>G245+G246</f>
        <v>0</v>
      </c>
      <c r="H244" s="49">
        <f aca="true" t="shared" si="72" ref="H244:O244">H245+H246</f>
        <v>0</v>
      </c>
      <c r="I244" s="49">
        <f t="shared" si="72"/>
        <v>0</v>
      </c>
      <c r="J244" s="49">
        <f t="shared" si="72"/>
        <v>0</v>
      </c>
      <c r="K244" s="49">
        <v>0</v>
      </c>
      <c r="L244" s="49">
        <f t="shared" si="72"/>
        <v>0</v>
      </c>
      <c r="M244" s="85">
        <f t="shared" si="72"/>
        <v>42033.61208</v>
      </c>
      <c r="N244" s="49">
        <f>N245+N246</f>
        <v>0</v>
      </c>
      <c r="O244" s="268">
        <f t="shared" si="72"/>
        <v>0</v>
      </c>
    </row>
    <row r="245" spans="1:15" s="230" customFormat="1" ht="37.5">
      <c r="A245" s="494"/>
      <c r="B245" s="488"/>
      <c r="C245" s="45" t="s">
        <v>118</v>
      </c>
      <c r="D245" s="48" t="s">
        <v>109</v>
      </c>
      <c r="E245" s="48" t="s">
        <v>228</v>
      </c>
      <c r="F245" s="49">
        <f t="shared" si="70"/>
        <v>42033.61208</v>
      </c>
      <c r="G245" s="49">
        <f>'приложение 8'!D557</f>
        <v>0</v>
      </c>
      <c r="H245" s="49">
        <f>'приложение 8'!E557</f>
        <v>0</v>
      </c>
      <c r="I245" s="49">
        <f>'приложение 8'!F557</f>
        <v>0</v>
      </c>
      <c r="J245" s="49">
        <f>'приложение 8'!G557</f>
        <v>0</v>
      </c>
      <c r="K245" s="49">
        <v>0</v>
      </c>
      <c r="L245" s="49">
        <v>0</v>
      </c>
      <c r="M245" s="49">
        <v>42033.61208</v>
      </c>
      <c r="N245" s="59">
        <v>0</v>
      </c>
      <c r="O245" s="271">
        <v>0</v>
      </c>
    </row>
    <row r="246" spans="1:15" s="230" customFormat="1" ht="37.5">
      <c r="A246" s="494"/>
      <c r="B246" s="488"/>
      <c r="C246" s="45" t="s">
        <v>118</v>
      </c>
      <c r="D246" s="48" t="s">
        <v>110</v>
      </c>
      <c r="E246" s="48" t="s">
        <v>228</v>
      </c>
      <c r="F246" s="49">
        <f t="shared" si="70"/>
        <v>0</v>
      </c>
      <c r="G246" s="49">
        <f>'приложение 8'!D558</f>
        <v>0</v>
      </c>
      <c r="H246" s="49">
        <f>'приложение 8'!E558</f>
        <v>0</v>
      </c>
      <c r="I246" s="49">
        <f>'приложение 8'!F558</f>
        <v>0</v>
      </c>
      <c r="J246" s="49">
        <f>'приложение 8'!G558</f>
        <v>0</v>
      </c>
      <c r="K246" s="49">
        <v>0</v>
      </c>
      <c r="L246" s="49">
        <v>0</v>
      </c>
      <c r="M246" s="49"/>
      <c r="N246" s="59">
        <v>0</v>
      </c>
      <c r="O246" s="271">
        <v>0</v>
      </c>
    </row>
    <row r="247" spans="1:15" s="230" customFormat="1" ht="56.25">
      <c r="A247" s="494"/>
      <c r="B247" s="488"/>
      <c r="C247" s="45" t="s">
        <v>119</v>
      </c>
      <c r="D247" s="48"/>
      <c r="E247" s="48"/>
      <c r="F247" s="49">
        <f t="shared" si="70"/>
        <v>0</v>
      </c>
      <c r="G247" s="49">
        <f>'приложение 8'!D559</f>
        <v>0</v>
      </c>
      <c r="H247" s="49">
        <f>'приложение 8'!E559</f>
        <v>0</v>
      </c>
      <c r="I247" s="49">
        <f>'приложение 8'!F559</f>
        <v>0</v>
      </c>
      <c r="J247" s="49">
        <f>'приложение 8'!G559</f>
        <v>0</v>
      </c>
      <c r="K247" s="49">
        <v>0</v>
      </c>
      <c r="L247" s="49">
        <v>0</v>
      </c>
      <c r="M247" s="49">
        <v>0</v>
      </c>
      <c r="N247" s="59">
        <v>0</v>
      </c>
      <c r="O247" s="271">
        <v>0</v>
      </c>
    </row>
    <row r="248" spans="1:15" s="230" customFormat="1" ht="56.25">
      <c r="A248" s="494"/>
      <c r="B248" s="488"/>
      <c r="C248" s="45" t="s">
        <v>120</v>
      </c>
      <c r="D248" s="48"/>
      <c r="E248" s="48"/>
      <c r="F248" s="49">
        <f t="shared" si="70"/>
        <v>0</v>
      </c>
      <c r="G248" s="49">
        <v>0</v>
      </c>
      <c r="H248" s="49">
        <v>0</v>
      </c>
      <c r="I248" s="49">
        <v>0</v>
      </c>
      <c r="J248" s="49">
        <v>0</v>
      </c>
      <c r="K248" s="49">
        <v>0</v>
      </c>
      <c r="L248" s="49">
        <v>0</v>
      </c>
      <c r="M248" s="49">
        <v>0</v>
      </c>
      <c r="N248" s="59">
        <v>0</v>
      </c>
      <c r="O248" s="271">
        <v>0</v>
      </c>
    </row>
    <row r="249" spans="1:15" s="230" customFormat="1" ht="56.25">
      <c r="A249" s="494"/>
      <c r="B249" s="488"/>
      <c r="C249" s="45" t="s">
        <v>192</v>
      </c>
      <c r="D249" s="48"/>
      <c r="E249" s="48"/>
      <c r="F249" s="49">
        <f t="shared" si="70"/>
        <v>0</v>
      </c>
      <c r="G249" s="49">
        <v>0</v>
      </c>
      <c r="H249" s="49">
        <v>0</v>
      </c>
      <c r="I249" s="49">
        <v>0</v>
      </c>
      <c r="J249" s="49">
        <v>0</v>
      </c>
      <c r="K249" s="49">
        <v>0</v>
      </c>
      <c r="L249" s="49">
        <v>0</v>
      </c>
      <c r="M249" s="49">
        <v>0</v>
      </c>
      <c r="N249" s="59">
        <v>0</v>
      </c>
      <c r="O249" s="271">
        <v>0</v>
      </c>
    </row>
    <row r="250" spans="1:15" s="230" customFormat="1" ht="112.5">
      <c r="A250" s="494"/>
      <c r="B250" s="488"/>
      <c r="C250" s="45" t="s">
        <v>178</v>
      </c>
      <c r="D250" s="48"/>
      <c r="E250" s="48"/>
      <c r="F250" s="49">
        <f t="shared" si="70"/>
        <v>0</v>
      </c>
      <c r="G250" s="49">
        <v>0</v>
      </c>
      <c r="H250" s="49">
        <v>0</v>
      </c>
      <c r="I250" s="49">
        <v>0</v>
      </c>
      <c r="J250" s="49">
        <v>0</v>
      </c>
      <c r="K250" s="49">
        <v>0</v>
      </c>
      <c r="L250" s="49">
        <v>0</v>
      </c>
      <c r="M250" s="49">
        <v>0</v>
      </c>
      <c r="N250" s="59">
        <v>0</v>
      </c>
      <c r="O250" s="271">
        <v>0</v>
      </c>
    </row>
    <row r="251" spans="1:15" s="230" customFormat="1" ht="37.5">
      <c r="A251" s="494" t="s">
        <v>616</v>
      </c>
      <c r="B251" s="488" t="s">
        <v>615</v>
      </c>
      <c r="C251" s="45" t="s">
        <v>116</v>
      </c>
      <c r="D251" s="42"/>
      <c r="E251" s="48"/>
      <c r="F251" s="49">
        <f t="shared" si="70"/>
        <v>754626</v>
      </c>
      <c r="G251" s="49">
        <f aca="true" t="shared" si="73" ref="G251:O251">G252+G253</f>
        <v>0</v>
      </c>
      <c r="H251" s="49">
        <f t="shared" si="73"/>
        <v>0</v>
      </c>
      <c r="I251" s="49">
        <f t="shared" si="73"/>
        <v>0</v>
      </c>
      <c r="J251" s="49">
        <f t="shared" si="73"/>
        <v>0</v>
      </c>
      <c r="K251" s="49">
        <f t="shared" si="73"/>
        <v>0</v>
      </c>
      <c r="L251" s="49">
        <f t="shared" si="73"/>
        <v>200000</v>
      </c>
      <c r="M251" s="49">
        <f t="shared" si="73"/>
        <v>350000</v>
      </c>
      <c r="N251" s="49">
        <f t="shared" si="73"/>
        <v>204626</v>
      </c>
      <c r="O251" s="268">
        <f t="shared" si="73"/>
        <v>0</v>
      </c>
    </row>
    <row r="252" spans="1:15" s="230" customFormat="1" ht="56.25">
      <c r="A252" s="494"/>
      <c r="B252" s="488"/>
      <c r="C252" s="45" t="s">
        <v>117</v>
      </c>
      <c r="D252" s="48" t="s">
        <v>110</v>
      </c>
      <c r="E252" s="48" t="s">
        <v>228</v>
      </c>
      <c r="F252" s="49">
        <f t="shared" si="70"/>
        <v>716422</v>
      </c>
      <c r="G252" s="49">
        <v>0</v>
      </c>
      <c r="H252" s="49">
        <v>0</v>
      </c>
      <c r="I252" s="49">
        <f>'приложение 8'!F564</f>
        <v>0</v>
      </c>
      <c r="J252" s="49">
        <f>'приложение 8'!G564</f>
        <v>0</v>
      </c>
      <c r="K252" s="49">
        <v>0</v>
      </c>
      <c r="L252" s="49">
        <v>190000</v>
      </c>
      <c r="M252" s="85">
        <v>332500</v>
      </c>
      <c r="N252" s="59">
        <v>193922</v>
      </c>
      <c r="O252" s="271">
        <v>0</v>
      </c>
    </row>
    <row r="253" spans="1:15" s="230" customFormat="1" ht="75">
      <c r="A253" s="494"/>
      <c r="B253" s="488"/>
      <c r="C253" s="45" t="s">
        <v>122</v>
      </c>
      <c r="D253" s="42"/>
      <c r="E253" s="48"/>
      <c r="F253" s="49">
        <f t="shared" si="70"/>
        <v>38204</v>
      </c>
      <c r="G253" s="49">
        <f>G254+G255</f>
        <v>0</v>
      </c>
      <c r="H253" s="49">
        <f>H254+H255</f>
        <v>0</v>
      </c>
      <c r="I253" s="49">
        <f>I254+I255</f>
        <v>0</v>
      </c>
      <c r="J253" s="49">
        <f>J254+J255</f>
        <v>0</v>
      </c>
      <c r="K253" s="49">
        <v>0</v>
      </c>
      <c r="L253" s="49">
        <f>L254+L255</f>
        <v>10000</v>
      </c>
      <c r="M253" s="85">
        <f>M254+M255</f>
        <v>17500</v>
      </c>
      <c r="N253" s="49">
        <f>N254+N255</f>
        <v>10704</v>
      </c>
      <c r="O253" s="268">
        <f>O254+O255</f>
        <v>0</v>
      </c>
    </row>
    <row r="254" spans="1:15" s="230" customFormat="1" ht="37.5">
      <c r="A254" s="494"/>
      <c r="B254" s="488"/>
      <c r="C254" s="45" t="s">
        <v>118</v>
      </c>
      <c r="D254" s="48" t="s">
        <v>110</v>
      </c>
      <c r="E254" s="48" t="s">
        <v>228</v>
      </c>
      <c r="F254" s="49">
        <f t="shared" si="70"/>
        <v>38204</v>
      </c>
      <c r="G254" s="49">
        <f>'приложение 8'!D566</f>
        <v>0</v>
      </c>
      <c r="H254" s="49">
        <f>'приложение 8'!E566</f>
        <v>0</v>
      </c>
      <c r="I254" s="49">
        <f>'приложение 8'!F566</f>
        <v>0</v>
      </c>
      <c r="J254" s="49">
        <f>'приложение 8'!G566</f>
        <v>0</v>
      </c>
      <c r="K254" s="49">
        <v>0</v>
      </c>
      <c r="L254" s="49">
        <v>10000</v>
      </c>
      <c r="M254" s="49">
        <v>17500</v>
      </c>
      <c r="N254" s="59">
        <v>10704</v>
      </c>
      <c r="O254" s="271">
        <v>0</v>
      </c>
    </row>
    <row r="255" spans="1:15" s="230" customFormat="1" ht="37.5">
      <c r="A255" s="494"/>
      <c r="B255" s="488"/>
      <c r="C255" s="45" t="s">
        <v>118</v>
      </c>
      <c r="D255" s="48"/>
      <c r="E255" s="48" t="s">
        <v>228</v>
      </c>
      <c r="F255" s="49">
        <f t="shared" si="70"/>
        <v>0</v>
      </c>
      <c r="G255" s="49">
        <f>'приложение 8'!D567</f>
        <v>0</v>
      </c>
      <c r="H255" s="49">
        <f>'приложение 8'!E567</f>
        <v>0</v>
      </c>
      <c r="I255" s="49">
        <f>'приложение 8'!F567</f>
        <v>0</v>
      </c>
      <c r="J255" s="49">
        <f>'приложение 8'!G567</f>
        <v>0</v>
      </c>
      <c r="K255" s="49">
        <v>0</v>
      </c>
      <c r="L255" s="49">
        <v>0</v>
      </c>
      <c r="M255" s="49"/>
      <c r="N255" s="59">
        <v>0</v>
      </c>
      <c r="O255" s="271">
        <v>0</v>
      </c>
    </row>
    <row r="256" spans="1:15" s="230" customFormat="1" ht="56.25">
      <c r="A256" s="494"/>
      <c r="B256" s="488"/>
      <c r="C256" s="45" t="s">
        <v>119</v>
      </c>
      <c r="D256" s="48"/>
      <c r="E256" s="48"/>
      <c r="F256" s="49">
        <f t="shared" si="70"/>
        <v>129169.32560000001</v>
      </c>
      <c r="G256" s="49">
        <f>'приложение 8'!D568</f>
        <v>14741.72</v>
      </c>
      <c r="H256" s="49">
        <f>'приложение 8'!E568</f>
        <v>72500</v>
      </c>
      <c r="I256" s="49">
        <f>'приложение 8'!F568</f>
        <v>40294.684</v>
      </c>
      <c r="J256" s="49">
        <f>'приложение 8'!G568</f>
        <v>1632.9216</v>
      </c>
      <c r="K256" s="49">
        <v>0</v>
      </c>
      <c r="L256" s="49">
        <v>0</v>
      </c>
      <c r="M256" s="49">
        <v>0</v>
      </c>
      <c r="N256" s="59">
        <v>0</v>
      </c>
      <c r="O256" s="271">
        <v>0</v>
      </c>
    </row>
    <row r="257" spans="1:15" s="230" customFormat="1" ht="56.25">
      <c r="A257" s="494"/>
      <c r="B257" s="488"/>
      <c r="C257" s="45" t="s">
        <v>120</v>
      </c>
      <c r="D257" s="48"/>
      <c r="E257" s="48"/>
      <c r="F257" s="49">
        <f t="shared" si="70"/>
        <v>0</v>
      </c>
      <c r="G257" s="49">
        <v>0</v>
      </c>
      <c r="H257" s="49">
        <v>0</v>
      </c>
      <c r="I257" s="49">
        <v>0</v>
      </c>
      <c r="J257" s="49">
        <v>0</v>
      </c>
      <c r="K257" s="49">
        <v>0</v>
      </c>
      <c r="L257" s="49">
        <v>0</v>
      </c>
      <c r="M257" s="49">
        <v>0</v>
      </c>
      <c r="N257" s="59">
        <v>0</v>
      </c>
      <c r="O257" s="271">
        <v>0</v>
      </c>
    </row>
    <row r="258" spans="1:15" s="230" customFormat="1" ht="56.25">
      <c r="A258" s="494"/>
      <c r="B258" s="488"/>
      <c r="C258" s="45" t="s">
        <v>192</v>
      </c>
      <c r="D258" s="48"/>
      <c r="E258" s="48"/>
      <c r="F258" s="49">
        <f t="shared" si="70"/>
        <v>0</v>
      </c>
      <c r="G258" s="49">
        <v>0</v>
      </c>
      <c r="H258" s="49">
        <v>0</v>
      </c>
      <c r="I258" s="49">
        <v>0</v>
      </c>
      <c r="J258" s="49">
        <v>0</v>
      </c>
      <c r="K258" s="49">
        <v>0</v>
      </c>
      <c r="L258" s="49">
        <v>0</v>
      </c>
      <c r="M258" s="49">
        <v>0</v>
      </c>
      <c r="N258" s="59">
        <v>0</v>
      </c>
      <c r="O258" s="271">
        <v>0</v>
      </c>
    </row>
    <row r="259" spans="1:15" s="230" customFormat="1" ht="112.5">
      <c r="A259" s="494"/>
      <c r="B259" s="488"/>
      <c r="C259" s="45" t="s">
        <v>178</v>
      </c>
      <c r="D259" s="48"/>
      <c r="E259" s="48"/>
      <c r="F259" s="49">
        <f t="shared" si="70"/>
        <v>0</v>
      </c>
      <c r="G259" s="49">
        <v>0</v>
      </c>
      <c r="H259" s="49">
        <v>0</v>
      </c>
      <c r="I259" s="49">
        <v>0</v>
      </c>
      <c r="J259" s="49">
        <v>0</v>
      </c>
      <c r="K259" s="49">
        <v>0</v>
      </c>
      <c r="L259" s="49">
        <v>0</v>
      </c>
      <c r="M259" s="49">
        <v>0</v>
      </c>
      <c r="N259" s="59">
        <v>0</v>
      </c>
      <c r="O259" s="271">
        <v>0</v>
      </c>
    </row>
    <row r="260" spans="1:15" s="230" customFormat="1" ht="37.5">
      <c r="A260" s="487" t="s">
        <v>84</v>
      </c>
      <c r="B260" s="488" t="s">
        <v>187</v>
      </c>
      <c r="C260" s="45" t="s">
        <v>116</v>
      </c>
      <c r="D260" s="42"/>
      <c r="E260" s="48"/>
      <c r="F260" s="49">
        <f t="shared" si="62"/>
        <v>1070532.75308</v>
      </c>
      <c r="G260" s="49">
        <f aca="true" t="shared" si="74" ref="G260:O260">G261+G262+G267+G268+G269+G270</f>
        <v>36189.82653</v>
      </c>
      <c r="H260" s="49">
        <f t="shared" si="74"/>
        <v>46428.40991</v>
      </c>
      <c r="I260" s="49">
        <f t="shared" si="74"/>
        <v>42645.119999999995</v>
      </c>
      <c r="J260" s="49">
        <f t="shared" si="74"/>
        <v>227650.71900000004</v>
      </c>
      <c r="K260" s="49">
        <f t="shared" si="74"/>
        <v>233015.66731</v>
      </c>
      <c r="L260" s="49">
        <f t="shared" si="74"/>
        <v>103618.341</v>
      </c>
      <c r="M260" s="49">
        <f t="shared" si="74"/>
        <v>140140.27936999997</v>
      </c>
      <c r="N260" s="49">
        <f t="shared" si="74"/>
        <v>120142.56489</v>
      </c>
      <c r="O260" s="267">
        <f t="shared" si="74"/>
        <v>120701.82506999999</v>
      </c>
    </row>
    <row r="261" spans="1:15" s="230" customFormat="1" ht="56.25">
      <c r="A261" s="487"/>
      <c r="B261" s="488"/>
      <c r="C261" s="45" t="s">
        <v>117</v>
      </c>
      <c r="D261" s="42"/>
      <c r="E261" s="48"/>
      <c r="F261" s="49">
        <f t="shared" si="62"/>
        <v>4703.8</v>
      </c>
      <c r="G261" s="49">
        <f>G272+G282+G294+G304</f>
        <v>0</v>
      </c>
      <c r="H261" s="49">
        <f>H272+H282+H294+H304</f>
        <v>0</v>
      </c>
      <c r="I261" s="49">
        <f>I272+I282+I294+I304</f>
        <v>0</v>
      </c>
      <c r="J261" s="49">
        <f>J272+J282+J294+J304</f>
        <v>0</v>
      </c>
      <c r="K261" s="49">
        <f>K272+K282+K294+K304</f>
        <v>0</v>
      </c>
      <c r="L261" s="49">
        <f>L355</f>
        <v>0</v>
      </c>
      <c r="M261" s="49">
        <f>M355</f>
        <v>4703.8</v>
      </c>
      <c r="N261" s="49">
        <f>N355</f>
        <v>0</v>
      </c>
      <c r="O261" s="268">
        <f>O355</f>
        <v>0</v>
      </c>
    </row>
    <row r="262" spans="1:15" s="230" customFormat="1" ht="75">
      <c r="A262" s="487"/>
      <c r="B262" s="488"/>
      <c r="C262" s="45" t="s">
        <v>122</v>
      </c>
      <c r="D262" s="42"/>
      <c r="E262" s="48"/>
      <c r="F262" s="49">
        <f t="shared" si="62"/>
        <v>1065828.95308</v>
      </c>
      <c r="G262" s="49">
        <f>G263+G264</f>
        <v>36189.82653</v>
      </c>
      <c r="H262" s="49">
        <f>H263+H264</f>
        <v>46428.40991</v>
      </c>
      <c r="I262" s="49">
        <f>I263+I264</f>
        <v>42645.119999999995</v>
      </c>
      <c r="J262" s="49">
        <f>J263+J264+J265</f>
        <v>227650.71900000004</v>
      </c>
      <c r="K262" s="49">
        <f>K263+K264+K265</f>
        <v>233015.66731</v>
      </c>
      <c r="L262" s="49">
        <f>L263+L264+L265+L266</f>
        <v>103618.341</v>
      </c>
      <c r="M262" s="49">
        <f>M263+M264+M265+M266</f>
        <v>135436.47937</v>
      </c>
      <c r="N262" s="49">
        <f>N263+N264+N265+N266</f>
        <v>120142.56489</v>
      </c>
      <c r="O262" s="267">
        <f>O263+O264+O265+O266</f>
        <v>120701.82506999999</v>
      </c>
    </row>
    <row r="263" spans="1:15" s="230" customFormat="1" ht="37.5">
      <c r="A263" s="487"/>
      <c r="B263" s="488"/>
      <c r="C263" s="45" t="s">
        <v>118</v>
      </c>
      <c r="D263" s="48" t="s">
        <v>109</v>
      </c>
      <c r="E263" s="48" t="s">
        <v>212</v>
      </c>
      <c r="F263" s="49">
        <f t="shared" si="62"/>
        <v>120272.27868</v>
      </c>
      <c r="G263" s="49">
        <f aca="true" t="shared" si="75" ref="G263:O263">G274+G284+G296+G306</f>
        <v>34689.82653</v>
      </c>
      <c r="H263" s="49">
        <f t="shared" si="75"/>
        <v>37165.40991</v>
      </c>
      <c r="I263" s="49">
        <f t="shared" si="75"/>
        <v>42645.119999999995</v>
      </c>
      <c r="J263" s="49">
        <f t="shared" si="75"/>
        <v>5771.92224</v>
      </c>
      <c r="K263" s="49">
        <f t="shared" si="75"/>
        <v>0</v>
      </c>
      <c r="L263" s="49">
        <f t="shared" si="75"/>
        <v>0</v>
      </c>
      <c r="M263" s="49">
        <f t="shared" si="75"/>
        <v>0</v>
      </c>
      <c r="N263" s="49">
        <f>N274+N284+N296+N306</f>
        <v>0</v>
      </c>
      <c r="O263" s="267">
        <f t="shared" si="75"/>
        <v>0</v>
      </c>
    </row>
    <row r="264" spans="1:15" s="230" customFormat="1" ht="37.5">
      <c r="A264" s="487"/>
      <c r="B264" s="488"/>
      <c r="C264" s="45" t="s">
        <v>118</v>
      </c>
      <c r="D264" s="48" t="s">
        <v>110</v>
      </c>
      <c r="E264" s="48" t="s">
        <v>212</v>
      </c>
      <c r="F264" s="49">
        <f t="shared" si="62"/>
        <v>325557.65339</v>
      </c>
      <c r="G264" s="49">
        <f aca="true" t="shared" si="76" ref="G264:O264">G314</f>
        <v>1500</v>
      </c>
      <c r="H264" s="49">
        <f t="shared" si="76"/>
        <v>9263</v>
      </c>
      <c r="I264" s="49">
        <f t="shared" si="76"/>
        <v>0</v>
      </c>
      <c r="J264" s="49">
        <f t="shared" si="76"/>
        <v>182825.263</v>
      </c>
      <c r="K264" s="49">
        <f t="shared" si="76"/>
        <v>131969.39039</v>
      </c>
      <c r="L264" s="49">
        <f t="shared" si="76"/>
        <v>0</v>
      </c>
      <c r="M264" s="49">
        <f t="shared" si="76"/>
        <v>0</v>
      </c>
      <c r="N264" s="49">
        <f>N314</f>
        <v>0</v>
      </c>
      <c r="O264" s="267">
        <f t="shared" si="76"/>
        <v>0</v>
      </c>
    </row>
    <row r="265" spans="1:15" s="230" customFormat="1" ht="37.5">
      <c r="A265" s="487"/>
      <c r="B265" s="488"/>
      <c r="C265" s="45" t="s">
        <v>118</v>
      </c>
      <c r="D265" s="48" t="s">
        <v>142</v>
      </c>
      <c r="E265" s="48" t="s">
        <v>212</v>
      </c>
      <c r="F265" s="49">
        <f t="shared" si="62"/>
        <v>152958.50116</v>
      </c>
      <c r="G265" s="49">
        <v>0</v>
      </c>
      <c r="H265" s="49">
        <v>0</v>
      </c>
      <c r="I265" s="49">
        <v>0</v>
      </c>
      <c r="J265" s="49">
        <f>J275+J287+J297+J307</f>
        <v>39053.533760000006</v>
      </c>
      <c r="K265" s="49">
        <f>K275+K287+K297+K307</f>
        <v>101046.27692</v>
      </c>
      <c r="L265" s="49">
        <f>L275+L287+L297+L356+L323</f>
        <v>4928.889999999999</v>
      </c>
      <c r="M265" s="49">
        <f>M275+M287+M297+M323</f>
        <v>2054.81052</v>
      </c>
      <c r="N265" s="49">
        <f>N275+N287+N297+N356+N323</f>
        <v>3015.9448900000007</v>
      </c>
      <c r="O265" s="268">
        <f>O275+O287+O297+O356+O323</f>
        <v>2859.0450699999997</v>
      </c>
    </row>
    <row r="266" spans="1:15" s="230" customFormat="1" ht="37.5">
      <c r="A266" s="487"/>
      <c r="B266" s="488"/>
      <c r="C266" s="45" t="s">
        <v>118</v>
      </c>
      <c r="D266" s="48" t="s">
        <v>612</v>
      </c>
      <c r="E266" s="48"/>
      <c r="F266" s="49">
        <f t="shared" si="62"/>
        <v>467040.51985</v>
      </c>
      <c r="G266" s="49">
        <v>0</v>
      </c>
      <c r="H266" s="49">
        <v>0</v>
      </c>
      <c r="I266" s="49">
        <v>0</v>
      </c>
      <c r="J266" s="49">
        <v>0</v>
      </c>
      <c r="K266" s="49">
        <v>0</v>
      </c>
      <c r="L266" s="49">
        <f>SUM(L276,L288,L298,L307,L325)</f>
        <v>98689.451</v>
      </c>
      <c r="M266" s="49">
        <f>SUM(M276,M288,M298,M307,M325)</f>
        <v>133381.66885</v>
      </c>
      <c r="N266" s="49">
        <f>SUM(N276,N288,N298,N307,N325)</f>
        <v>117126.62</v>
      </c>
      <c r="O266" s="282">
        <f>SUM(O276,O288,O298,O307,O325)</f>
        <v>117842.78</v>
      </c>
    </row>
    <row r="267" spans="1:15" s="230" customFormat="1" ht="56.25">
      <c r="A267" s="487"/>
      <c r="B267" s="488"/>
      <c r="C267" s="45" t="s">
        <v>119</v>
      </c>
      <c r="D267" s="48"/>
      <c r="E267" s="48"/>
      <c r="F267" s="49">
        <f t="shared" si="62"/>
        <v>0</v>
      </c>
      <c r="G267" s="49">
        <f aca="true" t="shared" si="77" ref="G267:K270">G277+G289+G299+G308</f>
        <v>0</v>
      </c>
      <c r="H267" s="49">
        <f t="shared" si="77"/>
        <v>0</v>
      </c>
      <c r="I267" s="49">
        <f t="shared" si="77"/>
        <v>0</v>
      </c>
      <c r="J267" s="49">
        <f t="shared" si="77"/>
        <v>0</v>
      </c>
      <c r="K267" s="49">
        <f t="shared" si="77"/>
        <v>0</v>
      </c>
      <c r="L267" s="49">
        <v>0</v>
      </c>
      <c r="M267" s="49">
        <f aca="true" t="shared" si="78" ref="M267:O270">M277+M289+M299+M308</f>
        <v>0</v>
      </c>
      <c r="N267" s="49">
        <f>N277+N289+N299+N308</f>
        <v>0</v>
      </c>
      <c r="O267" s="267">
        <f t="shared" si="78"/>
        <v>0</v>
      </c>
    </row>
    <row r="268" spans="1:15" s="230" customFormat="1" ht="56.25">
      <c r="A268" s="487"/>
      <c r="B268" s="488"/>
      <c r="C268" s="45" t="s">
        <v>120</v>
      </c>
      <c r="D268" s="48"/>
      <c r="E268" s="48"/>
      <c r="F268" s="49">
        <f t="shared" si="62"/>
        <v>0</v>
      </c>
      <c r="G268" s="49">
        <f t="shared" si="77"/>
        <v>0</v>
      </c>
      <c r="H268" s="49">
        <f t="shared" si="77"/>
        <v>0</v>
      </c>
      <c r="I268" s="49">
        <f t="shared" si="77"/>
        <v>0</v>
      </c>
      <c r="J268" s="49">
        <f t="shared" si="77"/>
        <v>0</v>
      </c>
      <c r="K268" s="49">
        <f t="shared" si="77"/>
        <v>0</v>
      </c>
      <c r="L268" s="49">
        <f>L278+L290+L300+L309</f>
        <v>0</v>
      </c>
      <c r="M268" s="49">
        <f t="shared" si="78"/>
        <v>0</v>
      </c>
      <c r="N268" s="49">
        <f>N278+N290+N300+N309</f>
        <v>0</v>
      </c>
      <c r="O268" s="267">
        <f t="shared" si="78"/>
        <v>0</v>
      </c>
    </row>
    <row r="269" spans="1:15" s="230" customFormat="1" ht="56.25">
      <c r="A269" s="487"/>
      <c r="B269" s="488"/>
      <c r="C269" s="45" t="s">
        <v>192</v>
      </c>
      <c r="D269" s="48"/>
      <c r="E269" s="48"/>
      <c r="F269" s="49">
        <f t="shared" si="62"/>
        <v>0</v>
      </c>
      <c r="G269" s="49">
        <f t="shared" si="77"/>
        <v>0</v>
      </c>
      <c r="H269" s="49">
        <f t="shared" si="77"/>
        <v>0</v>
      </c>
      <c r="I269" s="49">
        <f t="shared" si="77"/>
        <v>0</v>
      </c>
      <c r="J269" s="49">
        <f t="shared" si="77"/>
        <v>0</v>
      </c>
      <c r="K269" s="49">
        <f t="shared" si="77"/>
        <v>0</v>
      </c>
      <c r="L269" s="49">
        <f>L279+L291+L301+L310</f>
        <v>0</v>
      </c>
      <c r="M269" s="49">
        <f t="shared" si="78"/>
        <v>0</v>
      </c>
      <c r="N269" s="49">
        <f>N279+N291+N301+N310</f>
        <v>0</v>
      </c>
      <c r="O269" s="267">
        <f t="shared" si="78"/>
        <v>0</v>
      </c>
    </row>
    <row r="270" spans="1:15" s="230" customFormat="1" ht="112.5">
      <c r="A270" s="487"/>
      <c r="B270" s="488"/>
      <c r="C270" s="45" t="s">
        <v>178</v>
      </c>
      <c r="D270" s="48"/>
      <c r="E270" s="48"/>
      <c r="F270" s="49">
        <f t="shared" si="62"/>
        <v>0</v>
      </c>
      <c r="G270" s="49">
        <f t="shared" si="77"/>
        <v>0</v>
      </c>
      <c r="H270" s="49">
        <f t="shared" si="77"/>
        <v>0</v>
      </c>
      <c r="I270" s="49">
        <f t="shared" si="77"/>
        <v>0</v>
      </c>
      <c r="J270" s="49">
        <f t="shared" si="77"/>
        <v>0</v>
      </c>
      <c r="K270" s="49">
        <f t="shared" si="77"/>
        <v>0</v>
      </c>
      <c r="L270" s="49">
        <f>L280+L292+L302+L311</f>
        <v>0</v>
      </c>
      <c r="M270" s="49">
        <f t="shared" si="78"/>
        <v>0</v>
      </c>
      <c r="N270" s="49">
        <f>N280+N292+N302+N311</f>
        <v>0</v>
      </c>
      <c r="O270" s="267">
        <f t="shared" si="78"/>
        <v>0</v>
      </c>
    </row>
    <row r="271" spans="1:15" s="230" customFormat="1" ht="37.5">
      <c r="A271" s="487" t="s">
        <v>134</v>
      </c>
      <c r="B271" s="488" t="s">
        <v>608</v>
      </c>
      <c r="C271" s="45" t="s">
        <v>116</v>
      </c>
      <c r="D271" s="42"/>
      <c r="E271" s="48"/>
      <c r="F271" s="49">
        <f t="shared" si="62"/>
        <v>13641.55621</v>
      </c>
      <c r="G271" s="49">
        <f aca="true" t="shared" si="79" ref="G271:O271">G272+G273+G277+G278+G279+G280</f>
        <v>2037.474</v>
      </c>
      <c r="H271" s="49">
        <f t="shared" si="79"/>
        <v>1715.9981400000001</v>
      </c>
      <c r="I271" s="49">
        <f t="shared" si="79"/>
        <v>2724.9525</v>
      </c>
      <c r="J271" s="49">
        <f t="shared" si="79"/>
        <v>1612.81</v>
      </c>
      <c r="K271" s="49">
        <f t="shared" si="79"/>
        <v>2502.15474</v>
      </c>
      <c r="L271" s="49">
        <f t="shared" si="79"/>
        <v>2010</v>
      </c>
      <c r="M271" s="49">
        <f t="shared" si="79"/>
        <v>349.81052</v>
      </c>
      <c r="N271" s="49">
        <f t="shared" si="79"/>
        <v>354.84005</v>
      </c>
      <c r="O271" s="267">
        <f t="shared" si="79"/>
        <v>333.51626</v>
      </c>
    </row>
    <row r="272" spans="1:15" s="230" customFormat="1" ht="56.25">
      <c r="A272" s="487"/>
      <c r="B272" s="488"/>
      <c r="C272" s="45" t="s">
        <v>117</v>
      </c>
      <c r="D272" s="42"/>
      <c r="E272" s="48"/>
      <c r="F272" s="49">
        <f t="shared" si="62"/>
        <v>0</v>
      </c>
      <c r="G272" s="49">
        <f>'приложение 8'!D717</f>
        <v>0</v>
      </c>
      <c r="H272" s="49">
        <f>'приложение 8'!E717</f>
        <v>0</v>
      </c>
      <c r="I272" s="49">
        <f>'приложение 8'!F717</f>
        <v>0</v>
      </c>
      <c r="J272" s="49">
        <f>'приложение 8'!G717</f>
        <v>0</v>
      </c>
      <c r="K272" s="49">
        <v>0</v>
      </c>
      <c r="L272" s="49">
        <v>0</v>
      </c>
      <c r="M272" s="49">
        <v>0</v>
      </c>
      <c r="N272" s="59">
        <v>0</v>
      </c>
      <c r="O272" s="269">
        <v>0</v>
      </c>
    </row>
    <row r="273" spans="1:15" s="230" customFormat="1" ht="56.25">
      <c r="A273" s="487"/>
      <c r="B273" s="488"/>
      <c r="C273" s="45" t="s">
        <v>416</v>
      </c>
      <c r="D273" s="42"/>
      <c r="E273" s="48"/>
      <c r="F273" s="49">
        <f t="shared" si="62"/>
        <v>13641.55621</v>
      </c>
      <c r="G273" s="49">
        <f>G274+G275</f>
        <v>2037.474</v>
      </c>
      <c r="H273" s="49">
        <f>H274+H275</f>
        <v>1715.9981400000001</v>
      </c>
      <c r="I273" s="49">
        <f>I274+I275</f>
        <v>2724.9525</v>
      </c>
      <c r="J273" s="49">
        <f>J274+J275</f>
        <v>1612.81</v>
      </c>
      <c r="K273" s="49">
        <f>K274+K275</f>
        <v>2502.15474</v>
      </c>
      <c r="L273" s="49">
        <f>L274+L275+L276</f>
        <v>2010</v>
      </c>
      <c r="M273" s="49">
        <f>M274+M275+M276</f>
        <v>349.81052</v>
      </c>
      <c r="N273" s="49">
        <f>N274+N275+N276</f>
        <v>354.84005</v>
      </c>
      <c r="O273" s="267">
        <f>O274+O275+O276</f>
        <v>333.51626</v>
      </c>
    </row>
    <row r="274" spans="1:15" s="230" customFormat="1" ht="37.5">
      <c r="A274" s="487"/>
      <c r="B274" s="488"/>
      <c r="C274" s="45" t="s">
        <v>118</v>
      </c>
      <c r="D274" s="48" t="s">
        <v>109</v>
      </c>
      <c r="E274" s="48" t="s">
        <v>212</v>
      </c>
      <c r="F274" s="49">
        <f t="shared" si="62"/>
        <v>7093.234639999999</v>
      </c>
      <c r="G274" s="49">
        <f>'приложение 8'!D718</f>
        <v>2037.474</v>
      </c>
      <c r="H274" s="49">
        <f>'приложение 8'!E718</f>
        <v>1715.9981400000001</v>
      </c>
      <c r="I274" s="49">
        <f>'приложение 8'!F718</f>
        <v>2724.9525</v>
      </c>
      <c r="J274" s="49">
        <v>614.81</v>
      </c>
      <c r="K274" s="49">
        <v>0</v>
      </c>
      <c r="L274" s="49">
        <v>0</v>
      </c>
      <c r="M274" s="49">
        <v>0</v>
      </c>
      <c r="N274" s="59">
        <v>0</v>
      </c>
      <c r="O274" s="269">
        <v>0</v>
      </c>
    </row>
    <row r="275" spans="1:15" s="230" customFormat="1" ht="37.5">
      <c r="A275" s="487"/>
      <c r="B275" s="488"/>
      <c r="C275" s="45" t="s">
        <v>118</v>
      </c>
      <c r="D275" s="48" t="s">
        <v>142</v>
      </c>
      <c r="E275" s="48" t="s">
        <v>212</v>
      </c>
      <c r="F275" s="49">
        <f t="shared" si="62"/>
        <v>5258.32157</v>
      </c>
      <c r="G275" s="49">
        <v>0</v>
      </c>
      <c r="H275" s="49">
        <v>0</v>
      </c>
      <c r="I275" s="49">
        <v>0</v>
      </c>
      <c r="J275" s="49">
        <v>998</v>
      </c>
      <c r="K275" s="49">
        <f>2502.15474</f>
        <v>2502.15474</v>
      </c>
      <c r="L275" s="49">
        <v>720</v>
      </c>
      <c r="M275" s="296">
        <f>349.81052</f>
        <v>349.81052</v>
      </c>
      <c r="N275" s="59">
        <f>354.84005</f>
        <v>354.84005</v>
      </c>
      <c r="O275" s="269">
        <f>333.51626</f>
        <v>333.51626</v>
      </c>
    </row>
    <row r="276" spans="1:15" s="230" customFormat="1" ht="37.5">
      <c r="A276" s="487"/>
      <c r="B276" s="488"/>
      <c r="C276" s="45" t="s">
        <v>118</v>
      </c>
      <c r="D276" s="48" t="s">
        <v>612</v>
      </c>
      <c r="E276" s="48"/>
      <c r="F276" s="49">
        <f t="shared" si="62"/>
        <v>1290</v>
      </c>
      <c r="G276" s="49">
        <v>0</v>
      </c>
      <c r="H276" s="49">
        <v>0</v>
      </c>
      <c r="I276" s="49">
        <v>0</v>
      </c>
      <c r="J276" s="49">
        <v>0</v>
      </c>
      <c r="K276" s="49">
        <v>0</v>
      </c>
      <c r="L276" s="49">
        <f>1290</f>
        <v>1290</v>
      </c>
      <c r="M276" s="49">
        <v>0</v>
      </c>
      <c r="N276" s="59">
        <v>0</v>
      </c>
      <c r="O276" s="269">
        <v>0</v>
      </c>
    </row>
    <row r="277" spans="1:15" s="230" customFormat="1" ht="56.25">
      <c r="A277" s="487"/>
      <c r="B277" s="488"/>
      <c r="C277" s="45" t="s">
        <v>119</v>
      </c>
      <c r="D277" s="48"/>
      <c r="E277" s="48"/>
      <c r="F277" s="49">
        <f t="shared" si="62"/>
        <v>0</v>
      </c>
      <c r="G277" s="49">
        <f>'приложение 8'!D719</f>
        <v>0</v>
      </c>
      <c r="H277" s="49">
        <f>'приложение 8'!E719</f>
        <v>0</v>
      </c>
      <c r="I277" s="49">
        <f>'приложение 8'!F719</f>
        <v>0</v>
      </c>
      <c r="J277" s="49">
        <f>'приложение 8'!G719</f>
        <v>0</v>
      </c>
      <c r="K277" s="49">
        <v>0</v>
      </c>
      <c r="L277" s="49">
        <v>0</v>
      </c>
      <c r="M277" s="49">
        <v>0</v>
      </c>
      <c r="N277" s="59">
        <v>0</v>
      </c>
      <c r="O277" s="269">
        <v>0</v>
      </c>
    </row>
    <row r="278" spans="1:15" s="230" customFormat="1" ht="56.25">
      <c r="A278" s="487"/>
      <c r="B278" s="488"/>
      <c r="C278" s="45" t="s">
        <v>120</v>
      </c>
      <c r="D278" s="48"/>
      <c r="E278" s="48"/>
      <c r="F278" s="49">
        <f t="shared" si="62"/>
        <v>0</v>
      </c>
      <c r="G278" s="49">
        <f>'приложение 8'!D720</f>
        <v>0</v>
      </c>
      <c r="H278" s="49">
        <f>'приложение 8'!E720</f>
        <v>0</v>
      </c>
      <c r="I278" s="49">
        <f>'приложение 8'!F720</f>
        <v>0</v>
      </c>
      <c r="J278" s="49">
        <f>'приложение 8'!G720</f>
        <v>0</v>
      </c>
      <c r="K278" s="49">
        <v>0</v>
      </c>
      <c r="L278" s="49">
        <v>0</v>
      </c>
      <c r="M278" s="49">
        <v>0</v>
      </c>
      <c r="N278" s="59">
        <v>0</v>
      </c>
      <c r="O278" s="269">
        <v>0</v>
      </c>
    </row>
    <row r="279" spans="1:15" s="230" customFormat="1" ht="56.25">
      <c r="A279" s="487"/>
      <c r="B279" s="488"/>
      <c r="C279" s="45" t="s">
        <v>192</v>
      </c>
      <c r="D279" s="48"/>
      <c r="E279" s="48"/>
      <c r="F279" s="49">
        <f t="shared" si="62"/>
        <v>0</v>
      </c>
      <c r="G279" s="49">
        <f>'приложение 8'!D720</f>
        <v>0</v>
      </c>
      <c r="H279" s="49">
        <f>'приложение 8'!E720</f>
        <v>0</v>
      </c>
      <c r="I279" s="49">
        <f>'приложение 8'!F720</f>
        <v>0</v>
      </c>
      <c r="J279" s="49">
        <f>'приложение 8'!G720</f>
        <v>0</v>
      </c>
      <c r="K279" s="49">
        <v>0</v>
      </c>
      <c r="L279" s="49">
        <v>0</v>
      </c>
      <c r="M279" s="49">
        <v>0</v>
      </c>
      <c r="N279" s="59">
        <v>0</v>
      </c>
      <c r="O279" s="269">
        <v>0</v>
      </c>
    </row>
    <row r="280" spans="1:15" s="230" customFormat="1" ht="112.5">
      <c r="A280" s="487"/>
      <c r="B280" s="488"/>
      <c r="C280" s="45" t="s">
        <v>178</v>
      </c>
      <c r="D280" s="48"/>
      <c r="E280" s="48"/>
      <c r="F280" s="49">
        <f t="shared" si="62"/>
        <v>0</v>
      </c>
      <c r="G280" s="49">
        <v>0</v>
      </c>
      <c r="H280" s="49">
        <v>0</v>
      </c>
      <c r="I280" s="49">
        <v>0</v>
      </c>
      <c r="J280" s="49">
        <v>0</v>
      </c>
      <c r="K280" s="49">
        <v>0</v>
      </c>
      <c r="L280" s="49">
        <v>0</v>
      </c>
      <c r="M280" s="49">
        <v>0</v>
      </c>
      <c r="N280" s="59">
        <v>0</v>
      </c>
      <c r="O280" s="269">
        <v>0</v>
      </c>
    </row>
    <row r="281" spans="1:15" s="230" customFormat="1" ht="37.5">
      <c r="A281" s="487" t="s">
        <v>137</v>
      </c>
      <c r="B281" s="488" t="s">
        <v>591</v>
      </c>
      <c r="C281" s="45" t="s">
        <v>116</v>
      </c>
      <c r="D281" s="42"/>
      <c r="E281" s="48"/>
      <c r="F281" s="49">
        <f t="shared" si="62"/>
        <v>93003.88812999999</v>
      </c>
      <c r="G281" s="49">
        <f aca="true" t="shared" si="80" ref="G281:O281">G282+G283+G289+G290+G291+G292</f>
        <v>14125.026</v>
      </c>
      <c r="H281" s="49">
        <f t="shared" si="80"/>
        <v>14367.451860000001</v>
      </c>
      <c r="I281" s="49">
        <f t="shared" si="80"/>
        <v>15445.9875</v>
      </c>
      <c r="J281" s="49">
        <f t="shared" si="80"/>
        <v>14212.456</v>
      </c>
      <c r="K281" s="49">
        <f t="shared" si="80"/>
        <v>13359.06325</v>
      </c>
      <c r="L281" s="49">
        <f t="shared" si="80"/>
        <v>10404.378</v>
      </c>
      <c r="M281" s="49">
        <f t="shared" si="80"/>
        <v>5404.87468</v>
      </c>
      <c r="N281" s="49">
        <f t="shared" si="80"/>
        <v>2917.00898</v>
      </c>
      <c r="O281" s="267">
        <f t="shared" si="80"/>
        <v>2767.6418599999997</v>
      </c>
    </row>
    <row r="282" spans="1:15" s="230" customFormat="1" ht="56.25">
      <c r="A282" s="487"/>
      <c r="B282" s="488"/>
      <c r="C282" s="45" t="s">
        <v>117</v>
      </c>
      <c r="D282" s="42"/>
      <c r="E282" s="48"/>
      <c r="F282" s="49">
        <f t="shared" si="62"/>
        <v>0</v>
      </c>
      <c r="G282" s="49">
        <f>'приложение 8'!D823</f>
        <v>0</v>
      </c>
      <c r="H282" s="49">
        <f>'приложение 8'!E823</f>
        <v>0</v>
      </c>
      <c r="I282" s="49">
        <f>'приложение 8'!F823</f>
        <v>0</v>
      </c>
      <c r="J282" s="49">
        <f>'приложение 8'!G823</f>
        <v>0</v>
      </c>
      <c r="K282" s="49">
        <v>0</v>
      </c>
      <c r="L282" s="49">
        <v>0</v>
      </c>
      <c r="M282" s="49">
        <v>0</v>
      </c>
      <c r="N282" s="59">
        <v>0</v>
      </c>
      <c r="O282" s="269">
        <v>0</v>
      </c>
    </row>
    <row r="283" spans="1:15" s="230" customFormat="1" ht="56.25">
      <c r="A283" s="487"/>
      <c r="B283" s="488"/>
      <c r="C283" s="45" t="s">
        <v>416</v>
      </c>
      <c r="D283" s="42"/>
      <c r="E283" s="48"/>
      <c r="F283" s="49">
        <f t="shared" si="62"/>
        <v>93003.88812999999</v>
      </c>
      <c r="G283" s="49">
        <f>G284+G287</f>
        <v>14125.026</v>
      </c>
      <c r="H283" s="49">
        <f>H284+H287</f>
        <v>14367.451860000001</v>
      </c>
      <c r="I283" s="49">
        <f>I284+I287</f>
        <v>15445.9875</v>
      </c>
      <c r="J283" s="49">
        <f>J284+J287</f>
        <v>14212.456</v>
      </c>
      <c r="K283" s="49">
        <f>K284+K287</f>
        <v>13359.06325</v>
      </c>
      <c r="L283" s="49">
        <f>L284+L287+L288</f>
        <v>10404.378</v>
      </c>
      <c r="M283" s="49">
        <f>M284+M287+M288</f>
        <v>5404.87468</v>
      </c>
      <c r="N283" s="49">
        <f>N284+N287+N288</f>
        <v>2917.00898</v>
      </c>
      <c r="O283" s="267">
        <f>O284+O287+O288</f>
        <v>2767.6418599999997</v>
      </c>
    </row>
    <row r="284" spans="1:15" s="230" customFormat="1" ht="37.5">
      <c r="A284" s="487"/>
      <c r="B284" s="488"/>
      <c r="C284" s="45" t="s">
        <v>118</v>
      </c>
      <c r="D284" s="42">
        <v>847</v>
      </c>
      <c r="E284" s="48" t="s">
        <v>212</v>
      </c>
      <c r="F284" s="49">
        <f t="shared" si="62"/>
        <v>49095.577600000004</v>
      </c>
      <c r="G284" s="49">
        <f>'приложение 8'!D824</f>
        <v>14125.026</v>
      </c>
      <c r="H284" s="49">
        <f>'приложение 8'!E824</f>
        <v>14367.451860000001</v>
      </c>
      <c r="I284" s="49">
        <f>'приложение 8'!F824</f>
        <v>15445.9875</v>
      </c>
      <c r="J284" s="49">
        <v>5157.11224</v>
      </c>
      <c r="K284" s="49">
        <v>0</v>
      </c>
      <c r="L284" s="49">
        <v>0</v>
      </c>
      <c r="M284" s="49">
        <v>0</v>
      </c>
      <c r="N284" s="59">
        <v>0</v>
      </c>
      <c r="O284" s="269">
        <v>0</v>
      </c>
    </row>
    <row r="285" spans="1:15" s="230" customFormat="1" ht="36" customHeight="1" hidden="1">
      <c r="A285" s="487"/>
      <c r="B285" s="488"/>
      <c r="C285" s="45" t="s">
        <v>118</v>
      </c>
      <c r="D285" s="48" t="s">
        <v>109</v>
      </c>
      <c r="E285" s="48" t="s">
        <v>136</v>
      </c>
      <c r="F285" s="49">
        <f t="shared" si="62"/>
        <v>127942.91449999998</v>
      </c>
      <c r="G285" s="49">
        <v>13244.026</v>
      </c>
      <c r="H285" s="49">
        <f>'[1]8-5'!E576+'[1]8-5'!E577+'[1]8-5'!E578</f>
        <v>13418.45</v>
      </c>
      <c r="I285" s="49">
        <f>'[1]8-5'!F576+'[1]8-5'!F577+'[1]8-5'!F578</f>
        <v>13740</v>
      </c>
      <c r="J285" s="49">
        <f>'[1]8-5'!G576+'[1]8-5'!G577+'[1]8-5'!G578</f>
        <v>14317</v>
      </c>
      <c r="K285" s="49">
        <v>14317</v>
      </c>
      <c r="L285" s="49">
        <v>14317</v>
      </c>
      <c r="M285" s="49">
        <v>14918.5</v>
      </c>
      <c r="N285" s="59">
        <v>14835.46925</v>
      </c>
      <c r="O285" s="269">
        <v>14835.46925</v>
      </c>
    </row>
    <row r="286" spans="1:15" s="230" customFormat="1" ht="36" customHeight="1" hidden="1">
      <c r="A286" s="487"/>
      <c r="B286" s="488"/>
      <c r="C286" s="45" t="s">
        <v>118</v>
      </c>
      <c r="D286" s="48" t="s">
        <v>109</v>
      </c>
      <c r="E286" s="48" t="s">
        <v>138</v>
      </c>
      <c r="F286" s="49">
        <f t="shared" si="62"/>
        <v>6353.6</v>
      </c>
      <c r="G286" s="49">
        <f>'[1]8-5'!D579+'[1]8-5'!D580</f>
        <v>881</v>
      </c>
      <c r="H286" s="49">
        <f>'[1]8-5'!E579+'[1]8-5'!E580</f>
        <v>881</v>
      </c>
      <c r="I286" s="49">
        <f>'[1]8-5'!F579+'[1]8-5'!F580</f>
        <v>881</v>
      </c>
      <c r="J286" s="49">
        <f>'[1]8-5'!G579+'[1]8-5'!G580</f>
        <v>918</v>
      </c>
      <c r="K286" s="49">
        <v>918</v>
      </c>
      <c r="L286" s="49">
        <v>918</v>
      </c>
      <c r="M286" s="49">
        <v>956.6</v>
      </c>
      <c r="N286" s="59"/>
      <c r="O286" s="269"/>
    </row>
    <row r="287" spans="1:15" s="230" customFormat="1" ht="37.5">
      <c r="A287" s="487"/>
      <c r="B287" s="488"/>
      <c r="C287" s="45" t="s">
        <v>118</v>
      </c>
      <c r="D287" s="48" t="s">
        <v>142</v>
      </c>
      <c r="E287" s="48" t="s">
        <v>212</v>
      </c>
      <c r="F287" s="49">
        <f t="shared" si="62"/>
        <v>32392.947849999997</v>
      </c>
      <c r="G287" s="49">
        <v>0</v>
      </c>
      <c r="H287" s="49">
        <v>0</v>
      </c>
      <c r="I287" s="49">
        <v>0</v>
      </c>
      <c r="J287" s="49">
        <v>9055.34376</v>
      </c>
      <c r="K287" s="49">
        <f>12529.56325+829.5</f>
        <v>13359.06325</v>
      </c>
      <c r="L287" s="49">
        <f>3223.89+785</f>
        <v>4008.89</v>
      </c>
      <c r="M287" s="296">
        <f>720+785</f>
        <v>1505</v>
      </c>
      <c r="N287" s="59">
        <f>1502.00898+785</f>
        <v>2287.00898</v>
      </c>
      <c r="O287" s="269">
        <f>1392.64186+785</f>
        <v>2177.6418599999997</v>
      </c>
    </row>
    <row r="288" spans="1:15" s="230" customFormat="1" ht="37.5">
      <c r="A288" s="487"/>
      <c r="B288" s="488"/>
      <c r="C288" s="45" t="s">
        <v>118</v>
      </c>
      <c r="D288" s="48" t="s">
        <v>612</v>
      </c>
      <c r="E288" s="48"/>
      <c r="F288" s="49">
        <f t="shared" si="62"/>
        <v>11515.36268</v>
      </c>
      <c r="G288" s="49">
        <v>0</v>
      </c>
      <c r="H288" s="49">
        <v>0</v>
      </c>
      <c r="I288" s="49">
        <v>0</v>
      </c>
      <c r="J288" s="49">
        <v>0</v>
      </c>
      <c r="K288" s="49">
        <v>0</v>
      </c>
      <c r="L288" s="49">
        <f>6395.488</f>
        <v>6395.488</v>
      </c>
      <c r="M288" s="296">
        <f>359+3540.87468</f>
        <v>3899.87468</v>
      </c>
      <c r="N288" s="59">
        <v>630</v>
      </c>
      <c r="O288" s="269">
        <f>590</f>
        <v>590</v>
      </c>
    </row>
    <row r="289" spans="1:15" s="230" customFormat="1" ht="56.25">
      <c r="A289" s="487"/>
      <c r="B289" s="488"/>
      <c r="C289" s="45" t="s">
        <v>119</v>
      </c>
      <c r="D289" s="48"/>
      <c r="E289" s="48"/>
      <c r="F289" s="49">
        <f t="shared" si="62"/>
        <v>0</v>
      </c>
      <c r="G289" s="49">
        <f>'приложение 8'!D825</f>
        <v>0</v>
      </c>
      <c r="H289" s="49">
        <f>'приложение 8'!E825</f>
        <v>0</v>
      </c>
      <c r="I289" s="49">
        <f>'приложение 8'!F825</f>
        <v>0</v>
      </c>
      <c r="J289" s="49">
        <f>'приложение 8'!G825</f>
        <v>0</v>
      </c>
      <c r="K289" s="49">
        <v>0</v>
      </c>
      <c r="L289" s="49">
        <v>0</v>
      </c>
      <c r="M289" s="49">
        <v>0</v>
      </c>
      <c r="N289" s="59">
        <v>0</v>
      </c>
      <c r="O289" s="269">
        <v>0</v>
      </c>
    </row>
    <row r="290" spans="1:15" s="230" customFormat="1" ht="56.25">
      <c r="A290" s="487"/>
      <c r="B290" s="488"/>
      <c r="C290" s="45" t="s">
        <v>120</v>
      </c>
      <c r="D290" s="48"/>
      <c r="E290" s="48"/>
      <c r="F290" s="49">
        <f t="shared" si="62"/>
        <v>0</v>
      </c>
      <c r="G290" s="49">
        <f>'приложение 8'!D826</f>
        <v>0</v>
      </c>
      <c r="H290" s="49">
        <f>'приложение 8'!E826</f>
        <v>0</v>
      </c>
      <c r="I290" s="49">
        <f>'приложение 8'!F826</f>
        <v>0</v>
      </c>
      <c r="J290" s="49">
        <f>'приложение 8'!G826</f>
        <v>0</v>
      </c>
      <c r="K290" s="49">
        <v>0</v>
      </c>
      <c r="L290" s="49">
        <v>0</v>
      </c>
      <c r="M290" s="49">
        <v>0</v>
      </c>
      <c r="N290" s="59">
        <v>0</v>
      </c>
      <c r="O290" s="269">
        <v>0</v>
      </c>
    </row>
    <row r="291" spans="1:15" s="230" customFormat="1" ht="56.25">
      <c r="A291" s="487"/>
      <c r="B291" s="488"/>
      <c r="C291" s="45" t="s">
        <v>192</v>
      </c>
      <c r="D291" s="48"/>
      <c r="E291" s="48"/>
      <c r="F291" s="49">
        <f t="shared" si="62"/>
        <v>0</v>
      </c>
      <c r="G291" s="49">
        <v>0</v>
      </c>
      <c r="H291" s="49">
        <v>0</v>
      </c>
      <c r="I291" s="49">
        <v>0</v>
      </c>
      <c r="J291" s="49">
        <v>0</v>
      </c>
      <c r="K291" s="49">
        <v>0</v>
      </c>
      <c r="L291" s="49">
        <v>0</v>
      </c>
      <c r="M291" s="49">
        <v>0</v>
      </c>
      <c r="N291" s="59">
        <v>0</v>
      </c>
      <c r="O291" s="269">
        <v>0</v>
      </c>
    </row>
    <row r="292" spans="1:15" s="230" customFormat="1" ht="112.5">
      <c r="A292" s="487"/>
      <c r="B292" s="488"/>
      <c r="C292" s="45" t="s">
        <v>178</v>
      </c>
      <c r="D292" s="48"/>
      <c r="E292" s="48"/>
      <c r="F292" s="49">
        <f t="shared" si="62"/>
        <v>0</v>
      </c>
      <c r="G292" s="49">
        <v>0</v>
      </c>
      <c r="H292" s="49">
        <v>0</v>
      </c>
      <c r="I292" s="49">
        <v>0</v>
      </c>
      <c r="J292" s="49">
        <v>0</v>
      </c>
      <c r="K292" s="49">
        <v>0</v>
      </c>
      <c r="L292" s="49">
        <v>0</v>
      </c>
      <c r="M292" s="49">
        <v>0</v>
      </c>
      <c r="N292" s="59">
        <v>0</v>
      </c>
      <c r="O292" s="269">
        <v>0</v>
      </c>
    </row>
    <row r="293" spans="1:15" s="230" customFormat="1" ht="37.5">
      <c r="A293" s="487" t="s">
        <v>188</v>
      </c>
      <c r="B293" s="488" t="s">
        <v>316</v>
      </c>
      <c r="C293" s="45" t="s">
        <v>116</v>
      </c>
      <c r="D293" s="42"/>
      <c r="E293" s="48"/>
      <c r="F293" s="49">
        <f t="shared" si="62"/>
        <v>1460.26301</v>
      </c>
      <c r="G293" s="49">
        <f>G294+G295+G299+G300+G301+G302</f>
        <v>150</v>
      </c>
      <c r="H293" s="49">
        <f aca="true" t="shared" si="81" ref="H293:O293">H294+H295+H299+H300+H301+H302</f>
        <v>170</v>
      </c>
      <c r="I293" s="49">
        <f t="shared" si="81"/>
        <v>210</v>
      </c>
      <c r="J293" s="49">
        <f t="shared" si="81"/>
        <v>210</v>
      </c>
      <c r="K293" s="49">
        <f t="shared" si="81"/>
        <v>250</v>
      </c>
      <c r="L293" s="49">
        <f t="shared" si="81"/>
        <v>250</v>
      </c>
      <c r="M293" s="49">
        <f t="shared" si="81"/>
        <v>112.05423</v>
      </c>
      <c r="N293" s="49">
        <f>N294+N295+N299+N300+N301+N302</f>
        <v>56.06845</v>
      </c>
      <c r="O293" s="267">
        <f t="shared" si="81"/>
        <v>52.14033</v>
      </c>
    </row>
    <row r="294" spans="1:15" s="230" customFormat="1" ht="56.25">
      <c r="A294" s="487"/>
      <c r="B294" s="488"/>
      <c r="C294" s="45" t="s">
        <v>117</v>
      </c>
      <c r="D294" s="42"/>
      <c r="E294" s="48"/>
      <c r="F294" s="49">
        <f t="shared" si="62"/>
        <v>0</v>
      </c>
      <c r="G294" s="49">
        <f>'приложение 8'!D936</f>
        <v>0</v>
      </c>
      <c r="H294" s="49">
        <f>'приложение 8'!E936</f>
        <v>0</v>
      </c>
      <c r="I294" s="49">
        <f>'приложение 8'!F936</f>
        <v>0</v>
      </c>
      <c r="J294" s="49">
        <f>'приложение 8'!G936</f>
        <v>0</v>
      </c>
      <c r="K294" s="49">
        <v>0</v>
      </c>
      <c r="L294" s="49">
        <v>0</v>
      </c>
      <c r="M294" s="49">
        <v>0</v>
      </c>
      <c r="N294" s="59">
        <v>0</v>
      </c>
      <c r="O294" s="269">
        <v>0</v>
      </c>
    </row>
    <row r="295" spans="1:15" s="230" customFormat="1" ht="56.25">
      <c r="A295" s="487"/>
      <c r="B295" s="488"/>
      <c r="C295" s="45" t="s">
        <v>416</v>
      </c>
      <c r="D295" s="42"/>
      <c r="E295" s="48"/>
      <c r="F295" s="49">
        <f t="shared" si="62"/>
        <v>1460.26301</v>
      </c>
      <c r="G295" s="49">
        <f>G296+G297</f>
        <v>150</v>
      </c>
      <c r="H295" s="49">
        <f>H296+H297</f>
        <v>170</v>
      </c>
      <c r="I295" s="49">
        <f>I296+I297</f>
        <v>210</v>
      </c>
      <c r="J295" s="49">
        <f>J296+J297</f>
        <v>210</v>
      </c>
      <c r="K295" s="49">
        <f>K296+K297</f>
        <v>250</v>
      </c>
      <c r="L295" s="49">
        <f>L296+L297+L298</f>
        <v>250</v>
      </c>
      <c r="M295" s="49">
        <f>M296+M297+M298</f>
        <v>112.05423</v>
      </c>
      <c r="N295" s="49">
        <f>N296+N297+N298</f>
        <v>56.06845</v>
      </c>
      <c r="O295" s="267">
        <f>O296+O297+O298</f>
        <v>52.14033</v>
      </c>
    </row>
    <row r="296" spans="1:15" s="230" customFormat="1" ht="37.5">
      <c r="A296" s="487"/>
      <c r="B296" s="488"/>
      <c r="C296" s="45" t="s">
        <v>118</v>
      </c>
      <c r="D296" s="48" t="s">
        <v>109</v>
      </c>
      <c r="E296" s="48" t="s">
        <v>212</v>
      </c>
      <c r="F296" s="49">
        <f t="shared" si="62"/>
        <v>530</v>
      </c>
      <c r="G296" s="49">
        <f>'приложение 8'!D937</f>
        <v>150</v>
      </c>
      <c r="H296" s="49">
        <f>'приложение 8'!E937</f>
        <v>170</v>
      </c>
      <c r="I296" s="49">
        <f>'приложение 8'!F937</f>
        <v>210</v>
      </c>
      <c r="J296" s="49">
        <f>'приложение 8'!G937-210</f>
        <v>0</v>
      </c>
      <c r="K296" s="49">
        <v>0</v>
      </c>
      <c r="L296" s="49">
        <v>0</v>
      </c>
      <c r="M296" s="49">
        <v>0</v>
      </c>
      <c r="N296" s="59">
        <v>0</v>
      </c>
      <c r="O296" s="269">
        <v>0</v>
      </c>
    </row>
    <row r="297" spans="1:15" s="230" customFormat="1" ht="37.5">
      <c r="A297" s="487"/>
      <c r="B297" s="488"/>
      <c r="C297" s="45" t="s">
        <v>118</v>
      </c>
      <c r="D297" s="48" t="s">
        <v>142</v>
      </c>
      <c r="E297" s="48" t="s">
        <v>212</v>
      </c>
      <c r="F297" s="49">
        <f t="shared" si="62"/>
        <v>568.2087799999999</v>
      </c>
      <c r="G297" s="49">
        <v>0</v>
      </c>
      <c r="H297" s="49">
        <v>0</v>
      </c>
      <c r="I297" s="49">
        <v>0</v>
      </c>
      <c r="J297" s="49">
        <v>210</v>
      </c>
      <c r="K297" s="49">
        <f>250</f>
        <v>250</v>
      </c>
      <c r="L297" s="49">
        <v>0</v>
      </c>
      <c r="M297" s="296">
        <v>0</v>
      </c>
      <c r="N297" s="59">
        <v>56.06845</v>
      </c>
      <c r="O297" s="269">
        <v>52.14033</v>
      </c>
    </row>
    <row r="298" spans="1:15" s="230" customFormat="1" ht="37.5">
      <c r="A298" s="487"/>
      <c r="B298" s="488"/>
      <c r="C298" s="45" t="s">
        <v>118</v>
      </c>
      <c r="D298" s="48" t="s">
        <v>612</v>
      </c>
      <c r="E298" s="48"/>
      <c r="F298" s="49">
        <f t="shared" si="62"/>
        <v>362.05423</v>
      </c>
      <c r="G298" s="49">
        <v>0</v>
      </c>
      <c r="H298" s="49">
        <v>0</v>
      </c>
      <c r="I298" s="49">
        <v>0</v>
      </c>
      <c r="J298" s="49">
        <v>0</v>
      </c>
      <c r="K298" s="49">
        <v>0</v>
      </c>
      <c r="L298" s="49">
        <v>250</v>
      </c>
      <c r="M298" s="296">
        <f>112.05423</f>
        <v>112.05423</v>
      </c>
      <c r="N298" s="59">
        <v>0</v>
      </c>
      <c r="O298" s="269">
        <v>0</v>
      </c>
    </row>
    <row r="299" spans="1:15" s="230" customFormat="1" ht="56.25">
      <c r="A299" s="487"/>
      <c r="B299" s="488"/>
      <c r="C299" s="45" t="s">
        <v>119</v>
      </c>
      <c r="D299" s="48"/>
      <c r="E299" s="48"/>
      <c r="F299" s="49">
        <f t="shared" si="62"/>
        <v>0</v>
      </c>
      <c r="G299" s="49">
        <f>'приложение 8'!D938</f>
        <v>0</v>
      </c>
      <c r="H299" s="49">
        <f>'приложение 8'!E938</f>
        <v>0</v>
      </c>
      <c r="I299" s="49">
        <f>'приложение 8'!F938</f>
        <v>0</v>
      </c>
      <c r="J299" s="49">
        <f>'приложение 8'!G938</f>
        <v>0</v>
      </c>
      <c r="K299" s="49">
        <v>0</v>
      </c>
      <c r="L299" s="49">
        <v>0</v>
      </c>
      <c r="M299" s="49">
        <v>0</v>
      </c>
      <c r="N299" s="59">
        <v>0</v>
      </c>
      <c r="O299" s="269">
        <v>0</v>
      </c>
    </row>
    <row r="300" spans="1:15" s="230" customFormat="1" ht="56.25">
      <c r="A300" s="487"/>
      <c r="B300" s="488"/>
      <c r="C300" s="45" t="s">
        <v>120</v>
      </c>
      <c r="D300" s="48"/>
      <c r="E300" s="48"/>
      <c r="F300" s="49">
        <f t="shared" si="62"/>
        <v>0</v>
      </c>
      <c r="G300" s="49">
        <f>'приложение 8'!D939</f>
        <v>0</v>
      </c>
      <c r="H300" s="49">
        <f>'приложение 8'!E939</f>
        <v>0</v>
      </c>
      <c r="I300" s="49">
        <f>'приложение 8'!F939</f>
        <v>0</v>
      </c>
      <c r="J300" s="49">
        <f>'приложение 8'!G939</f>
        <v>0</v>
      </c>
      <c r="K300" s="49">
        <v>0</v>
      </c>
      <c r="L300" s="49">
        <v>0</v>
      </c>
      <c r="M300" s="49">
        <v>0</v>
      </c>
      <c r="N300" s="59">
        <v>0</v>
      </c>
      <c r="O300" s="269">
        <v>0</v>
      </c>
    </row>
    <row r="301" spans="1:15" s="230" customFormat="1" ht="56.25">
      <c r="A301" s="487"/>
      <c r="B301" s="488"/>
      <c r="C301" s="45" t="s">
        <v>192</v>
      </c>
      <c r="D301" s="48"/>
      <c r="E301" s="48"/>
      <c r="F301" s="49">
        <f t="shared" si="62"/>
        <v>0</v>
      </c>
      <c r="G301" s="49">
        <v>0</v>
      </c>
      <c r="H301" s="49">
        <v>0</v>
      </c>
      <c r="I301" s="49">
        <v>0</v>
      </c>
      <c r="J301" s="49">
        <v>0</v>
      </c>
      <c r="K301" s="49">
        <v>0</v>
      </c>
      <c r="L301" s="49">
        <v>0</v>
      </c>
      <c r="M301" s="49">
        <v>0</v>
      </c>
      <c r="N301" s="59">
        <v>0</v>
      </c>
      <c r="O301" s="269">
        <v>0</v>
      </c>
    </row>
    <row r="302" spans="1:15" s="230" customFormat="1" ht="112.5">
      <c r="A302" s="487"/>
      <c r="B302" s="488"/>
      <c r="C302" s="45" t="s">
        <v>178</v>
      </c>
      <c r="D302" s="48"/>
      <c r="E302" s="48"/>
      <c r="F302" s="49">
        <f t="shared" si="62"/>
        <v>0</v>
      </c>
      <c r="G302" s="49">
        <v>0</v>
      </c>
      <c r="H302" s="49">
        <v>0</v>
      </c>
      <c r="I302" s="49">
        <v>0</v>
      </c>
      <c r="J302" s="49">
        <v>0</v>
      </c>
      <c r="K302" s="49">
        <v>0</v>
      </c>
      <c r="L302" s="49">
        <v>0</v>
      </c>
      <c r="M302" s="49">
        <v>0</v>
      </c>
      <c r="N302" s="59">
        <v>0</v>
      </c>
      <c r="O302" s="269">
        <v>0</v>
      </c>
    </row>
    <row r="303" spans="1:15" s="230" customFormat="1" ht="37.5">
      <c r="A303" s="487" t="s">
        <v>139</v>
      </c>
      <c r="B303" s="488" t="s">
        <v>592</v>
      </c>
      <c r="C303" s="45" t="s">
        <v>116</v>
      </c>
      <c r="D303" s="42"/>
      <c r="E303" s="48"/>
      <c r="F303" s="49">
        <f aca="true" t="shared" si="82" ref="F303:F390">G303+H303+I303+J303+K303+L303+M303+O303+N303</f>
        <v>629450.68637</v>
      </c>
      <c r="G303" s="49">
        <f>G304+G305+G308+G309+G310+G311</f>
        <v>18377.32653</v>
      </c>
      <c r="H303" s="49">
        <f aca="true" t="shared" si="83" ref="H303:O303">H304+H305+H308+H309+H310+H311</f>
        <v>20911.959909999998</v>
      </c>
      <c r="I303" s="49">
        <f t="shared" si="83"/>
        <v>24264.18</v>
      </c>
      <c r="J303" s="49">
        <f t="shared" si="83"/>
        <v>28790.190000000002</v>
      </c>
      <c r="K303" s="49">
        <f t="shared" si="83"/>
        <v>84935.05893</v>
      </c>
      <c r="L303" s="49">
        <f t="shared" si="83"/>
        <v>89535.931</v>
      </c>
      <c r="M303" s="49">
        <f t="shared" si="83"/>
        <v>128886.64</v>
      </c>
      <c r="N303" s="49">
        <f>N304+N305+N308+N309+N310+N311</f>
        <v>116496.62</v>
      </c>
      <c r="O303" s="267">
        <f t="shared" si="83"/>
        <v>117252.78</v>
      </c>
    </row>
    <row r="304" spans="1:15" s="230" customFormat="1" ht="56.25">
      <c r="A304" s="487"/>
      <c r="B304" s="488"/>
      <c r="C304" s="45" t="s">
        <v>117</v>
      </c>
      <c r="D304" s="42"/>
      <c r="E304" s="48"/>
      <c r="F304" s="49">
        <f t="shared" si="82"/>
        <v>0</v>
      </c>
      <c r="G304" s="49">
        <f>'приложение 8'!D951</f>
        <v>0</v>
      </c>
      <c r="H304" s="49">
        <f>'приложение 8'!E951</f>
        <v>0</v>
      </c>
      <c r="I304" s="49">
        <f>'приложение 8'!F951</f>
        <v>0</v>
      </c>
      <c r="J304" s="49">
        <f>'приложение 8'!G951</f>
        <v>0</v>
      </c>
      <c r="K304" s="49">
        <v>0</v>
      </c>
      <c r="L304" s="49">
        <v>0</v>
      </c>
      <c r="M304" s="49">
        <v>0</v>
      </c>
      <c r="N304" s="59">
        <v>0</v>
      </c>
      <c r="O304" s="269">
        <v>0</v>
      </c>
    </row>
    <row r="305" spans="1:15" s="230" customFormat="1" ht="56.25">
      <c r="A305" s="487"/>
      <c r="B305" s="488"/>
      <c r="C305" s="45" t="s">
        <v>416</v>
      </c>
      <c r="D305" s="42"/>
      <c r="E305" s="48"/>
      <c r="F305" s="49">
        <f t="shared" si="82"/>
        <v>629450.68637</v>
      </c>
      <c r="G305" s="49">
        <f aca="true" t="shared" si="84" ref="G305:O305">G306+G307</f>
        <v>18377.32653</v>
      </c>
      <c r="H305" s="49">
        <f t="shared" si="84"/>
        <v>20911.959909999998</v>
      </c>
      <c r="I305" s="49">
        <f t="shared" si="84"/>
        <v>24264.18</v>
      </c>
      <c r="J305" s="49">
        <f t="shared" si="84"/>
        <v>28790.190000000002</v>
      </c>
      <c r="K305" s="49">
        <f t="shared" si="84"/>
        <v>84935.05893</v>
      </c>
      <c r="L305" s="49">
        <f t="shared" si="84"/>
        <v>89535.931</v>
      </c>
      <c r="M305" s="49">
        <f t="shared" si="84"/>
        <v>128886.64</v>
      </c>
      <c r="N305" s="49">
        <f>N306+N307</f>
        <v>116496.62</v>
      </c>
      <c r="O305" s="267">
        <f t="shared" si="84"/>
        <v>117252.78</v>
      </c>
    </row>
    <row r="306" spans="1:15" s="230" customFormat="1" ht="37.5">
      <c r="A306" s="487"/>
      <c r="B306" s="488"/>
      <c r="C306" s="45" t="s">
        <v>118</v>
      </c>
      <c r="D306" s="48" t="s">
        <v>109</v>
      </c>
      <c r="E306" s="48" t="s">
        <v>212</v>
      </c>
      <c r="F306" s="49">
        <f t="shared" si="82"/>
        <v>63553.46644</v>
      </c>
      <c r="G306" s="49">
        <f>'приложение 8'!D952</f>
        <v>18377.32653</v>
      </c>
      <c r="H306" s="49">
        <f>'приложение 8'!E952</f>
        <v>20911.959909999998</v>
      </c>
      <c r="I306" s="49">
        <f>'приложение 8'!F952</f>
        <v>24264.18</v>
      </c>
      <c r="J306" s="49">
        <v>0</v>
      </c>
      <c r="K306" s="49">
        <v>0</v>
      </c>
      <c r="L306" s="49">
        <v>0</v>
      </c>
      <c r="M306" s="49">
        <v>0</v>
      </c>
      <c r="N306" s="59">
        <v>0</v>
      </c>
      <c r="O306" s="269">
        <v>0</v>
      </c>
    </row>
    <row r="307" spans="1:15" s="230" customFormat="1" ht="37.5">
      <c r="A307" s="487"/>
      <c r="B307" s="488"/>
      <c r="C307" s="45" t="s">
        <v>118</v>
      </c>
      <c r="D307" s="48" t="s">
        <v>612</v>
      </c>
      <c r="E307" s="48" t="s">
        <v>212</v>
      </c>
      <c r="F307" s="49">
        <f t="shared" si="82"/>
        <v>565897.21993</v>
      </c>
      <c r="G307" s="49">
        <v>0</v>
      </c>
      <c r="H307" s="49">
        <v>0</v>
      </c>
      <c r="I307" s="49">
        <v>0</v>
      </c>
      <c r="J307" s="49">
        <f>'приложение 8'!G952</f>
        <v>28790.190000000002</v>
      </c>
      <c r="K307" s="49">
        <f>43327.75131+41607.30762</f>
        <v>84935.05893</v>
      </c>
      <c r="L307" s="49">
        <v>89535.931</v>
      </c>
      <c r="M307" s="296">
        <f>88476.91+40407.83+1.9</f>
        <v>128886.64</v>
      </c>
      <c r="N307" s="59">
        <f>75047.33+41447.39+1.9</f>
        <v>116496.62</v>
      </c>
      <c r="O307" s="269">
        <f>75433.71+41817.17+1.9</f>
        <v>117252.78</v>
      </c>
    </row>
    <row r="308" spans="1:15" s="230" customFormat="1" ht="56.25">
      <c r="A308" s="487"/>
      <c r="B308" s="488"/>
      <c r="C308" s="45" t="s">
        <v>119</v>
      </c>
      <c r="D308" s="48"/>
      <c r="E308" s="48"/>
      <c r="F308" s="49">
        <f t="shared" si="82"/>
        <v>0</v>
      </c>
      <c r="G308" s="49">
        <f>'приложение 8'!D953</f>
        <v>0</v>
      </c>
      <c r="H308" s="49">
        <f>'приложение 8'!E953</f>
        <v>0</v>
      </c>
      <c r="I308" s="49">
        <f>'приложение 8'!F953</f>
        <v>0</v>
      </c>
      <c r="J308" s="49">
        <f>'приложение 8'!G953</f>
        <v>0</v>
      </c>
      <c r="K308" s="49">
        <v>0</v>
      </c>
      <c r="L308" s="49">
        <v>0</v>
      </c>
      <c r="M308" s="49">
        <v>0</v>
      </c>
      <c r="N308" s="59">
        <v>0</v>
      </c>
      <c r="O308" s="269">
        <v>0</v>
      </c>
    </row>
    <row r="309" spans="1:15" s="230" customFormat="1" ht="56.25">
      <c r="A309" s="487"/>
      <c r="B309" s="488"/>
      <c r="C309" s="45" t="s">
        <v>120</v>
      </c>
      <c r="D309" s="48"/>
      <c r="E309" s="48"/>
      <c r="F309" s="49">
        <f t="shared" si="82"/>
        <v>0</v>
      </c>
      <c r="G309" s="49">
        <f>'приложение 8'!D954</f>
        <v>0</v>
      </c>
      <c r="H309" s="49">
        <f>'приложение 8'!E954</f>
        <v>0</v>
      </c>
      <c r="I309" s="49">
        <f>'приложение 8'!F954</f>
        <v>0</v>
      </c>
      <c r="J309" s="49">
        <f>'приложение 8'!G954</f>
        <v>0</v>
      </c>
      <c r="K309" s="49">
        <v>0</v>
      </c>
      <c r="L309" s="49">
        <v>0</v>
      </c>
      <c r="M309" s="49">
        <v>0</v>
      </c>
      <c r="N309" s="59">
        <v>0</v>
      </c>
      <c r="O309" s="269">
        <v>0</v>
      </c>
    </row>
    <row r="310" spans="1:15" s="230" customFormat="1" ht="56.25">
      <c r="A310" s="487"/>
      <c r="B310" s="488"/>
      <c r="C310" s="45" t="s">
        <v>192</v>
      </c>
      <c r="D310" s="48"/>
      <c r="E310" s="48"/>
      <c r="F310" s="49">
        <f t="shared" si="82"/>
        <v>0</v>
      </c>
      <c r="G310" s="49">
        <v>0</v>
      </c>
      <c r="H310" s="49">
        <v>0</v>
      </c>
      <c r="I310" s="49">
        <v>0</v>
      </c>
      <c r="J310" s="49">
        <v>0</v>
      </c>
      <c r="K310" s="49">
        <v>0</v>
      </c>
      <c r="L310" s="49">
        <v>0</v>
      </c>
      <c r="M310" s="49">
        <v>0</v>
      </c>
      <c r="N310" s="59">
        <v>0</v>
      </c>
      <c r="O310" s="269">
        <v>0</v>
      </c>
    </row>
    <row r="311" spans="1:15" s="230" customFormat="1" ht="112.5">
      <c r="A311" s="487"/>
      <c r="B311" s="488"/>
      <c r="C311" s="45" t="s">
        <v>178</v>
      </c>
      <c r="D311" s="48"/>
      <c r="E311" s="48"/>
      <c r="F311" s="49">
        <f t="shared" si="82"/>
        <v>0</v>
      </c>
      <c r="G311" s="49">
        <v>0</v>
      </c>
      <c r="H311" s="49">
        <v>0</v>
      </c>
      <c r="I311" s="49">
        <v>0</v>
      </c>
      <c r="J311" s="49">
        <v>0</v>
      </c>
      <c r="K311" s="49">
        <v>0</v>
      </c>
      <c r="L311" s="49">
        <v>0</v>
      </c>
      <c r="M311" s="49">
        <v>0</v>
      </c>
      <c r="N311" s="59">
        <v>0</v>
      </c>
      <c r="O311" s="269">
        <v>0</v>
      </c>
    </row>
    <row r="312" spans="1:15" s="230" customFormat="1" ht="37.5">
      <c r="A312" s="495" t="s">
        <v>419</v>
      </c>
      <c r="B312" s="488" t="s">
        <v>322</v>
      </c>
      <c r="C312" s="45" t="s">
        <v>116</v>
      </c>
      <c r="D312" s="42"/>
      <c r="E312" s="48"/>
      <c r="F312" s="49">
        <f t="shared" si="82"/>
        <v>325557.65339</v>
      </c>
      <c r="G312" s="49">
        <f aca="true" t="shared" si="85" ref="G312:O312">G313+G314+G316+G317+G318+G319</f>
        <v>1500</v>
      </c>
      <c r="H312" s="49">
        <f t="shared" si="85"/>
        <v>9263</v>
      </c>
      <c r="I312" s="49">
        <f t="shared" si="85"/>
        <v>0</v>
      </c>
      <c r="J312" s="49">
        <f t="shared" si="85"/>
        <v>182825.263</v>
      </c>
      <c r="K312" s="49">
        <f t="shared" si="85"/>
        <v>131969.39039</v>
      </c>
      <c r="L312" s="49">
        <f t="shared" si="85"/>
        <v>0</v>
      </c>
      <c r="M312" s="49">
        <f t="shared" si="85"/>
        <v>0</v>
      </c>
      <c r="N312" s="49">
        <f>N313+N314+N316+N317+N318+N319</f>
        <v>0</v>
      </c>
      <c r="O312" s="267">
        <f t="shared" si="85"/>
        <v>0</v>
      </c>
    </row>
    <row r="313" spans="1:15" s="230" customFormat="1" ht="56.25">
      <c r="A313" s="495"/>
      <c r="B313" s="488"/>
      <c r="C313" s="45" t="s">
        <v>117</v>
      </c>
      <c r="D313" s="42"/>
      <c r="E313" s="48"/>
      <c r="F313" s="49">
        <f t="shared" si="82"/>
        <v>0</v>
      </c>
      <c r="G313" s="49">
        <f>'приложение 8'!D1022</f>
        <v>0</v>
      </c>
      <c r="H313" s="49">
        <f>'приложение 8'!E1022</f>
        <v>0</v>
      </c>
      <c r="I313" s="49">
        <f>'приложение 8'!F1022</f>
        <v>0</v>
      </c>
      <c r="J313" s="49">
        <f>'приложение 8'!G1022</f>
        <v>0</v>
      </c>
      <c r="K313" s="49">
        <v>0</v>
      </c>
      <c r="L313" s="49">
        <v>0</v>
      </c>
      <c r="M313" s="49">
        <v>0</v>
      </c>
      <c r="N313" s="59">
        <v>0</v>
      </c>
      <c r="O313" s="269">
        <v>0</v>
      </c>
    </row>
    <row r="314" spans="1:15" s="230" customFormat="1" ht="37.5">
      <c r="A314" s="495"/>
      <c r="B314" s="488"/>
      <c r="C314" s="45" t="s">
        <v>118</v>
      </c>
      <c r="D314" s="48" t="s">
        <v>110</v>
      </c>
      <c r="E314" s="48" t="s">
        <v>212</v>
      </c>
      <c r="F314" s="49">
        <f t="shared" si="82"/>
        <v>325557.65339</v>
      </c>
      <c r="G314" s="49">
        <f>'приложение 8'!D1023</f>
        <v>1500</v>
      </c>
      <c r="H314" s="49">
        <f>'приложение 8'!E1023</f>
        <v>9263</v>
      </c>
      <c r="I314" s="49">
        <f>'приложение 8'!F1023</f>
        <v>0</v>
      </c>
      <c r="J314" s="49">
        <f>'приложение 8'!G1023</f>
        <v>182825.263</v>
      </c>
      <c r="K314" s="49">
        <f>131969.39039</f>
        <v>131969.39039</v>
      </c>
      <c r="L314" s="49">
        <v>0</v>
      </c>
      <c r="M314" s="49">
        <v>0</v>
      </c>
      <c r="N314" s="59">
        <v>0</v>
      </c>
      <c r="O314" s="269">
        <v>0</v>
      </c>
    </row>
    <row r="315" spans="1:15" s="230" customFormat="1" ht="37.5" hidden="1">
      <c r="A315" s="495"/>
      <c r="B315" s="488"/>
      <c r="C315" s="45" t="s">
        <v>118</v>
      </c>
      <c r="D315" s="48"/>
      <c r="E315" s="48"/>
      <c r="F315" s="49">
        <f t="shared" si="82"/>
        <v>0</v>
      </c>
      <c r="G315" s="49">
        <v>0</v>
      </c>
      <c r="H315" s="49">
        <v>0</v>
      </c>
      <c r="I315" s="49">
        <v>0</v>
      </c>
      <c r="J315" s="49">
        <v>0</v>
      </c>
      <c r="K315" s="49">
        <v>0</v>
      </c>
      <c r="L315" s="49">
        <v>0</v>
      </c>
      <c r="M315" s="49">
        <v>0</v>
      </c>
      <c r="N315" s="59">
        <v>0</v>
      </c>
      <c r="O315" s="269">
        <v>0</v>
      </c>
    </row>
    <row r="316" spans="1:15" s="230" customFormat="1" ht="56.25">
      <c r="A316" s="495"/>
      <c r="B316" s="488"/>
      <c r="C316" s="45" t="s">
        <v>119</v>
      </c>
      <c r="D316" s="48"/>
      <c r="E316" s="48"/>
      <c r="F316" s="49">
        <f t="shared" si="82"/>
        <v>0</v>
      </c>
      <c r="G316" s="49">
        <f>'приложение 8'!D1024</f>
        <v>0</v>
      </c>
      <c r="H316" s="49">
        <f>'приложение 8'!E1024</f>
        <v>0</v>
      </c>
      <c r="I316" s="49">
        <f>'приложение 8'!F1024</f>
        <v>0</v>
      </c>
      <c r="J316" s="49">
        <f>'приложение 8'!G1024</f>
        <v>0</v>
      </c>
      <c r="K316" s="49">
        <v>0</v>
      </c>
      <c r="L316" s="49">
        <v>0</v>
      </c>
      <c r="M316" s="49">
        <v>0</v>
      </c>
      <c r="N316" s="59">
        <v>0</v>
      </c>
      <c r="O316" s="269">
        <v>0</v>
      </c>
    </row>
    <row r="317" spans="1:15" s="230" customFormat="1" ht="56.25">
      <c r="A317" s="495"/>
      <c r="B317" s="488"/>
      <c r="C317" s="45" t="s">
        <v>120</v>
      </c>
      <c r="D317" s="48"/>
      <c r="E317" s="48"/>
      <c r="F317" s="49">
        <f t="shared" si="82"/>
        <v>0</v>
      </c>
      <c r="G317" s="49">
        <f>'приложение 8'!D1025</f>
        <v>0</v>
      </c>
      <c r="H317" s="49">
        <f>'приложение 8'!E1025</f>
        <v>0</v>
      </c>
      <c r="I317" s="49">
        <f>'приложение 8'!F1025</f>
        <v>0</v>
      </c>
      <c r="J317" s="49">
        <f>'приложение 8'!G1025</f>
        <v>0</v>
      </c>
      <c r="K317" s="49">
        <v>0</v>
      </c>
      <c r="L317" s="49">
        <v>0</v>
      </c>
      <c r="M317" s="49">
        <v>0</v>
      </c>
      <c r="N317" s="59">
        <v>0</v>
      </c>
      <c r="O317" s="269">
        <v>0</v>
      </c>
    </row>
    <row r="318" spans="1:15" s="230" customFormat="1" ht="56.25">
      <c r="A318" s="495"/>
      <c r="B318" s="488"/>
      <c r="C318" s="45" t="s">
        <v>192</v>
      </c>
      <c r="D318" s="48"/>
      <c r="E318" s="48"/>
      <c r="F318" s="49">
        <f t="shared" si="82"/>
        <v>0</v>
      </c>
      <c r="G318" s="49">
        <v>0</v>
      </c>
      <c r="H318" s="49">
        <v>0</v>
      </c>
      <c r="I318" s="49">
        <v>0</v>
      </c>
      <c r="J318" s="49">
        <v>0</v>
      </c>
      <c r="K318" s="49">
        <v>0</v>
      </c>
      <c r="L318" s="49">
        <v>0</v>
      </c>
      <c r="M318" s="49">
        <v>0</v>
      </c>
      <c r="N318" s="59">
        <v>0</v>
      </c>
      <c r="O318" s="269">
        <v>0</v>
      </c>
    </row>
    <row r="319" spans="1:15" s="230" customFormat="1" ht="112.5">
      <c r="A319" s="495"/>
      <c r="B319" s="488"/>
      <c r="C319" s="45" t="s">
        <v>178</v>
      </c>
      <c r="D319" s="48"/>
      <c r="E319" s="48"/>
      <c r="F319" s="49">
        <f t="shared" si="82"/>
        <v>0</v>
      </c>
      <c r="G319" s="49">
        <v>0</v>
      </c>
      <c r="H319" s="49">
        <v>0</v>
      </c>
      <c r="I319" s="49">
        <v>0</v>
      </c>
      <c r="J319" s="49">
        <v>0</v>
      </c>
      <c r="K319" s="49">
        <v>0</v>
      </c>
      <c r="L319" s="49">
        <v>0</v>
      </c>
      <c r="M319" s="49">
        <v>0</v>
      </c>
      <c r="N319" s="59">
        <v>0</v>
      </c>
      <c r="O319" s="269">
        <v>0</v>
      </c>
    </row>
    <row r="320" spans="1:15" s="230" customFormat="1" ht="37.5">
      <c r="A320" s="495" t="s">
        <v>593</v>
      </c>
      <c r="B320" s="488" t="s">
        <v>661</v>
      </c>
      <c r="C320" s="45" t="s">
        <v>116</v>
      </c>
      <c r="D320" s="42"/>
      <c r="E320" s="48"/>
      <c r="F320" s="49">
        <f t="shared" si="82"/>
        <v>7418.70597</v>
      </c>
      <c r="G320" s="49">
        <f>G321+G323+G326+G327+G328+G329</f>
        <v>0</v>
      </c>
      <c r="H320" s="49">
        <f>H321+H323+H326+H327+H328+H329</f>
        <v>0</v>
      </c>
      <c r="I320" s="49">
        <f>I321+I323+I326+I327+I328+I329</f>
        <v>0</v>
      </c>
      <c r="J320" s="49">
        <f>J321+J323+J326+J327+J328+J329</f>
        <v>0</v>
      </c>
      <c r="K320" s="49">
        <f>K321+K323+K326+K327+K328+K329</f>
        <v>0</v>
      </c>
      <c r="L320" s="49">
        <f>L321+L326+L327+L328+L329+L322</f>
        <v>1418.032</v>
      </c>
      <c r="M320" s="49">
        <f>M321+M326+M327+M328+M329+M322</f>
        <v>5386.89994</v>
      </c>
      <c r="N320" s="49">
        <f>N321+N326+N327+N328+N329+N322</f>
        <v>318.02741</v>
      </c>
      <c r="O320" s="267">
        <f>O321+O326+O327+O328+O329+O322</f>
        <v>295.74662</v>
      </c>
    </row>
    <row r="321" spans="1:15" s="230" customFormat="1" ht="56.25">
      <c r="A321" s="495"/>
      <c r="B321" s="488"/>
      <c r="C321" s="45" t="s">
        <v>117</v>
      </c>
      <c r="D321" s="42">
        <v>859</v>
      </c>
      <c r="E321" s="48"/>
      <c r="F321" s="49">
        <f t="shared" si="82"/>
        <v>4703.8</v>
      </c>
      <c r="G321" s="49">
        <v>0</v>
      </c>
      <c r="H321" s="49">
        <v>0</v>
      </c>
      <c r="I321" s="49">
        <v>0</v>
      </c>
      <c r="J321" s="49">
        <v>0</v>
      </c>
      <c r="K321" s="49">
        <v>0</v>
      </c>
      <c r="L321" s="49">
        <v>0</v>
      </c>
      <c r="M321" s="49">
        <v>4703.8</v>
      </c>
      <c r="N321" s="49">
        <v>0</v>
      </c>
      <c r="O321" s="268">
        <v>0</v>
      </c>
    </row>
    <row r="322" spans="1:15" s="230" customFormat="1" ht="56.25">
      <c r="A322" s="495"/>
      <c r="B322" s="488"/>
      <c r="C322" s="45" t="s">
        <v>416</v>
      </c>
      <c r="D322" s="42"/>
      <c r="E322" s="48"/>
      <c r="F322" s="49">
        <f t="shared" si="82"/>
        <v>2714.9059700000003</v>
      </c>
      <c r="G322" s="49">
        <v>0</v>
      </c>
      <c r="H322" s="49">
        <v>0</v>
      </c>
      <c r="I322" s="49">
        <v>0</v>
      </c>
      <c r="J322" s="49">
        <v>0</v>
      </c>
      <c r="K322" s="49">
        <v>0</v>
      </c>
      <c r="L322" s="49">
        <f>SUM(L323:L325)</f>
        <v>1418.032</v>
      </c>
      <c r="M322" s="49">
        <f>SUM(M323:M325)</f>
        <v>683.0999400000001</v>
      </c>
      <c r="N322" s="49">
        <f>SUM(N323:N325)</f>
        <v>318.02741</v>
      </c>
      <c r="O322" s="268">
        <f>SUM(O323:O325)</f>
        <v>295.74662</v>
      </c>
    </row>
    <row r="323" spans="1:15" s="230" customFormat="1" ht="37.5">
      <c r="A323" s="495"/>
      <c r="B323" s="488"/>
      <c r="C323" s="45" t="s">
        <v>118</v>
      </c>
      <c r="D323" s="48" t="s">
        <v>142</v>
      </c>
      <c r="E323" s="48" t="s">
        <v>212</v>
      </c>
      <c r="F323" s="49">
        <f t="shared" si="82"/>
        <v>1013.77403</v>
      </c>
      <c r="G323" s="49">
        <v>0</v>
      </c>
      <c r="H323" s="49">
        <v>0</v>
      </c>
      <c r="I323" s="49">
        <v>0</v>
      </c>
      <c r="J323" s="49">
        <v>0</v>
      </c>
      <c r="K323" s="49">
        <v>0</v>
      </c>
      <c r="L323" s="49">
        <v>200</v>
      </c>
      <c r="M323" s="296">
        <f>M340</f>
        <v>200</v>
      </c>
      <c r="N323" s="49">
        <v>318.02741</v>
      </c>
      <c r="O323" s="268">
        <v>295.74662</v>
      </c>
    </row>
    <row r="324" spans="1:15" s="230" customFormat="1" ht="37.5" hidden="1">
      <c r="A324" s="495"/>
      <c r="B324" s="488"/>
      <c r="C324" s="45" t="s">
        <v>118</v>
      </c>
      <c r="D324" s="48"/>
      <c r="E324" s="48"/>
      <c r="F324" s="49">
        <f t="shared" si="82"/>
        <v>0</v>
      </c>
      <c r="G324" s="49">
        <v>0</v>
      </c>
      <c r="H324" s="49">
        <v>0</v>
      </c>
      <c r="I324" s="49">
        <v>0</v>
      </c>
      <c r="J324" s="49">
        <v>0</v>
      </c>
      <c r="K324" s="49">
        <v>0</v>
      </c>
      <c r="L324" s="49">
        <v>0</v>
      </c>
      <c r="M324" s="49">
        <v>0</v>
      </c>
      <c r="N324" s="49">
        <v>0</v>
      </c>
      <c r="O324" s="268">
        <v>0</v>
      </c>
    </row>
    <row r="325" spans="1:15" s="230" customFormat="1" ht="37.5">
      <c r="A325" s="495"/>
      <c r="B325" s="488"/>
      <c r="C325" s="45" t="s">
        <v>118</v>
      </c>
      <c r="D325" s="48" t="s">
        <v>612</v>
      </c>
      <c r="E325" s="48"/>
      <c r="F325" s="49">
        <f t="shared" si="82"/>
        <v>1701.13194</v>
      </c>
      <c r="G325" s="49">
        <v>0</v>
      </c>
      <c r="H325" s="49">
        <v>0</v>
      </c>
      <c r="I325" s="49">
        <v>0</v>
      </c>
      <c r="J325" s="49">
        <v>0</v>
      </c>
      <c r="K325" s="49">
        <v>0</v>
      </c>
      <c r="L325" s="49">
        <v>1218.032</v>
      </c>
      <c r="M325" s="296">
        <f>M341+M356</f>
        <v>483.09994</v>
      </c>
      <c r="N325" s="49">
        <v>0</v>
      </c>
      <c r="O325" s="268">
        <v>0</v>
      </c>
    </row>
    <row r="326" spans="1:15" s="230" customFormat="1" ht="56.25">
      <c r="A326" s="495"/>
      <c r="B326" s="488"/>
      <c r="C326" s="45" t="s">
        <v>119</v>
      </c>
      <c r="D326" s="48"/>
      <c r="E326" s="48"/>
      <c r="F326" s="49">
        <f t="shared" si="82"/>
        <v>0</v>
      </c>
      <c r="G326" s="49">
        <v>0</v>
      </c>
      <c r="H326" s="49">
        <v>0</v>
      </c>
      <c r="I326" s="49">
        <v>0</v>
      </c>
      <c r="J326" s="49">
        <v>0</v>
      </c>
      <c r="K326" s="49">
        <v>0</v>
      </c>
      <c r="L326" s="49">
        <v>0</v>
      </c>
      <c r="M326" s="49">
        <v>0</v>
      </c>
      <c r="N326" s="49">
        <v>0</v>
      </c>
      <c r="O326" s="268">
        <v>0</v>
      </c>
    </row>
    <row r="327" spans="1:15" s="230" customFormat="1" ht="56.25">
      <c r="A327" s="495"/>
      <c r="B327" s="488"/>
      <c r="C327" s="45" t="s">
        <v>120</v>
      </c>
      <c r="D327" s="48"/>
      <c r="E327" s="48"/>
      <c r="F327" s="49">
        <f t="shared" si="82"/>
        <v>0</v>
      </c>
      <c r="G327" s="49">
        <v>0</v>
      </c>
      <c r="H327" s="49">
        <v>0</v>
      </c>
      <c r="I327" s="49">
        <v>0</v>
      </c>
      <c r="J327" s="49">
        <v>0</v>
      </c>
      <c r="K327" s="49">
        <v>0</v>
      </c>
      <c r="L327" s="49">
        <v>0</v>
      </c>
      <c r="M327" s="49">
        <v>0</v>
      </c>
      <c r="N327" s="49">
        <v>0</v>
      </c>
      <c r="O327" s="268">
        <v>0</v>
      </c>
    </row>
    <row r="328" spans="1:15" s="230" customFormat="1" ht="56.25">
      <c r="A328" s="495"/>
      <c r="B328" s="488"/>
      <c r="C328" s="45" t="s">
        <v>192</v>
      </c>
      <c r="D328" s="48"/>
      <c r="E328" s="48"/>
      <c r="F328" s="49">
        <f t="shared" si="82"/>
        <v>0</v>
      </c>
      <c r="G328" s="49">
        <v>0</v>
      </c>
      <c r="H328" s="49">
        <v>0</v>
      </c>
      <c r="I328" s="49">
        <v>0</v>
      </c>
      <c r="J328" s="49">
        <v>0</v>
      </c>
      <c r="K328" s="49">
        <v>0</v>
      </c>
      <c r="L328" s="49">
        <v>0</v>
      </c>
      <c r="M328" s="49">
        <v>0</v>
      </c>
      <c r="N328" s="49">
        <v>0</v>
      </c>
      <c r="O328" s="268">
        <v>0</v>
      </c>
    </row>
    <row r="329" spans="1:15" s="230" customFormat="1" ht="112.5">
      <c r="A329" s="495"/>
      <c r="B329" s="488"/>
      <c r="C329" s="45" t="s">
        <v>178</v>
      </c>
      <c r="D329" s="48"/>
      <c r="E329" s="48"/>
      <c r="F329" s="49">
        <f t="shared" si="82"/>
        <v>0</v>
      </c>
      <c r="G329" s="49">
        <v>0</v>
      </c>
      <c r="H329" s="49">
        <v>0</v>
      </c>
      <c r="I329" s="49">
        <v>0</v>
      </c>
      <c r="J329" s="49">
        <v>0</v>
      </c>
      <c r="K329" s="49">
        <v>0</v>
      </c>
      <c r="L329" s="49">
        <v>0</v>
      </c>
      <c r="M329" s="49">
        <v>0</v>
      </c>
      <c r="N329" s="49">
        <v>0</v>
      </c>
      <c r="O329" s="268">
        <v>0</v>
      </c>
    </row>
    <row r="330" spans="1:15" s="230" customFormat="1" ht="37.5">
      <c r="A330" s="495" t="s">
        <v>662</v>
      </c>
      <c r="B330" s="488" t="s">
        <v>656</v>
      </c>
      <c r="C330" s="45" t="s">
        <v>116</v>
      </c>
      <c r="D330" s="42"/>
      <c r="E330" s="48"/>
      <c r="F330" s="49">
        <f aca="true" t="shared" si="86" ref="F330:F337">G330+H330+I330+J330+K330+L330+M330+O330+N330</f>
        <v>200</v>
      </c>
      <c r="G330" s="49">
        <f aca="true" t="shared" si="87" ref="G330:O330">G331+G332+G334+G335+G336+G337</f>
        <v>0</v>
      </c>
      <c r="H330" s="49">
        <f t="shared" si="87"/>
        <v>0</v>
      </c>
      <c r="I330" s="49">
        <f t="shared" si="87"/>
        <v>0</v>
      </c>
      <c r="J330" s="49">
        <f t="shared" si="87"/>
        <v>0</v>
      </c>
      <c r="K330" s="49">
        <f t="shared" si="87"/>
        <v>0</v>
      </c>
      <c r="L330" s="49">
        <f t="shared" si="87"/>
        <v>200</v>
      </c>
      <c r="M330" s="49">
        <f t="shared" si="87"/>
        <v>0</v>
      </c>
      <c r="N330" s="49">
        <f t="shared" si="87"/>
        <v>0</v>
      </c>
      <c r="O330" s="267">
        <f t="shared" si="87"/>
        <v>0</v>
      </c>
    </row>
    <row r="331" spans="1:15" s="230" customFormat="1" ht="56.25">
      <c r="A331" s="495"/>
      <c r="B331" s="488"/>
      <c r="C331" s="45" t="s">
        <v>117</v>
      </c>
      <c r="D331" s="42"/>
      <c r="E331" s="48"/>
      <c r="F331" s="49">
        <f t="shared" si="86"/>
        <v>0</v>
      </c>
      <c r="G331" s="49">
        <v>0</v>
      </c>
      <c r="H331" s="49">
        <v>0</v>
      </c>
      <c r="I331" s="49">
        <v>0</v>
      </c>
      <c r="J331" s="49">
        <v>0</v>
      </c>
      <c r="K331" s="49">
        <v>0</v>
      </c>
      <c r="L331" s="49">
        <v>0</v>
      </c>
      <c r="M331" s="49">
        <v>0</v>
      </c>
      <c r="N331" s="49">
        <v>0</v>
      </c>
      <c r="O331" s="268">
        <v>0</v>
      </c>
    </row>
    <row r="332" spans="1:19" s="230" customFormat="1" ht="37.5">
      <c r="A332" s="495"/>
      <c r="B332" s="488"/>
      <c r="C332" s="45" t="s">
        <v>118</v>
      </c>
      <c r="D332" s="48" t="s">
        <v>142</v>
      </c>
      <c r="E332" s="48" t="s">
        <v>212</v>
      </c>
      <c r="F332" s="49">
        <f t="shared" si="86"/>
        <v>200</v>
      </c>
      <c r="G332" s="49">
        <v>0</v>
      </c>
      <c r="H332" s="49">
        <v>0</v>
      </c>
      <c r="I332" s="49">
        <v>0</v>
      </c>
      <c r="J332" s="49">
        <v>0</v>
      </c>
      <c r="K332" s="49">
        <v>0</v>
      </c>
      <c r="L332" s="49">
        <v>200</v>
      </c>
      <c r="M332" s="49">
        <v>0</v>
      </c>
      <c r="N332" s="49">
        <v>0</v>
      </c>
      <c r="O332" s="268">
        <v>0</v>
      </c>
      <c r="Q332" s="230">
        <v>413216.00499000004</v>
      </c>
      <c r="R332" s="230">
        <v>325386.65009999997</v>
      </c>
      <c r="S332" s="230">
        <v>325455.1161</v>
      </c>
    </row>
    <row r="333" spans="1:15" s="230" customFormat="1" ht="37.5">
      <c r="A333" s="495"/>
      <c r="B333" s="488"/>
      <c r="C333" s="45" t="s">
        <v>118</v>
      </c>
      <c r="D333" s="48"/>
      <c r="E333" s="48"/>
      <c r="F333" s="49">
        <f t="shared" si="86"/>
        <v>0</v>
      </c>
      <c r="G333" s="49">
        <v>0</v>
      </c>
      <c r="H333" s="49">
        <v>0</v>
      </c>
      <c r="I333" s="49">
        <v>0</v>
      </c>
      <c r="J333" s="49">
        <v>0</v>
      </c>
      <c r="K333" s="49">
        <v>0</v>
      </c>
      <c r="L333" s="49">
        <v>0</v>
      </c>
      <c r="M333" s="49">
        <v>0</v>
      </c>
      <c r="N333" s="49">
        <v>0</v>
      </c>
      <c r="O333" s="268">
        <v>0</v>
      </c>
    </row>
    <row r="334" spans="1:15" s="230" customFormat="1" ht="56.25">
      <c r="A334" s="495"/>
      <c r="B334" s="488"/>
      <c r="C334" s="45" t="s">
        <v>119</v>
      </c>
      <c r="D334" s="48"/>
      <c r="E334" s="48"/>
      <c r="F334" s="49">
        <f t="shared" si="86"/>
        <v>0</v>
      </c>
      <c r="G334" s="49">
        <v>0</v>
      </c>
      <c r="H334" s="49">
        <v>0</v>
      </c>
      <c r="I334" s="49">
        <v>0</v>
      </c>
      <c r="J334" s="49">
        <v>0</v>
      </c>
      <c r="K334" s="49">
        <v>0</v>
      </c>
      <c r="L334" s="49">
        <v>0</v>
      </c>
      <c r="M334" s="49">
        <v>0</v>
      </c>
      <c r="N334" s="49">
        <v>0</v>
      </c>
      <c r="O334" s="268">
        <v>0</v>
      </c>
    </row>
    <row r="335" spans="1:15" s="230" customFormat="1" ht="56.25">
      <c r="A335" s="495"/>
      <c r="B335" s="488"/>
      <c r="C335" s="45" t="s">
        <v>120</v>
      </c>
      <c r="D335" s="48"/>
      <c r="E335" s="48"/>
      <c r="F335" s="49">
        <f t="shared" si="86"/>
        <v>0</v>
      </c>
      <c r="G335" s="49">
        <v>0</v>
      </c>
      <c r="H335" s="49">
        <v>0</v>
      </c>
      <c r="I335" s="49">
        <v>0</v>
      </c>
      <c r="J335" s="49">
        <v>0</v>
      </c>
      <c r="K335" s="49">
        <v>0</v>
      </c>
      <c r="L335" s="49">
        <v>0</v>
      </c>
      <c r="M335" s="49">
        <v>0</v>
      </c>
      <c r="N335" s="49">
        <v>0</v>
      </c>
      <c r="O335" s="268">
        <v>0</v>
      </c>
    </row>
    <row r="336" spans="1:15" s="230" customFormat="1" ht="56.25">
      <c r="A336" s="495"/>
      <c r="B336" s="488"/>
      <c r="C336" s="45" t="s">
        <v>192</v>
      </c>
      <c r="D336" s="48"/>
      <c r="E336" s="48"/>
      <c r="F336" s="49">
        <f t="shared" si="86"/>
        <v>0</v>
      </c>
      <c r="G336" s="49">
        <v>0</v>
      </c>
      <c r="H336" s="49">
        <v>0</v>
      </c>
      <c r="I336" s="49">
        <v>0</v>
      </c>
      <c r="J336" s="49">
        <v>0</v>
      </c>
      <c r="K336" s="49">
        <v>0</v>
      </c>
      <c r="L336" s="49">
        <v>0</v>
      </c>
      <c r="M336" s="49">
        <v>0</v>
      </c>
      <c r="N336" s="49">
        <v>0</v>
      </c>
      <c r="O336" s="268">
        <v>0</v>
      </c>
    </row>
    <row r="337" spans="1:15" s="230" customFormat="1" ht="112.5">
      <c r="A337" s="495"/>
      <c r="B337" s="488"/>
      <c r="C337" s="45" t="s">
        <v>178</v>
      </c>
      <c r="D337" s="48"/>
      <c r="E337" s="48"/>
      <c r="F337" s="49">
        <f t="shared" si="86"/>
        <v>0</v>
      </c>
      <c r="G337" s="49">
        <v>0</v>
      </c>
      <c r="H337" s="49">
        <v>0</v>
      </c>
      <c r="I337" s="49">
        <v>0</v>
      </c>
      <c r="J337" s="49">
        <v>0</v>
      </c>
      <c r="K337" s="49">
        <v>0</v>
      </c>
      <c r="L337" s="49">
        <v>0</v>
      </c>
      <c r="M337" s="49">
        <v>0</v>
      </c>
      <c r="N337" s="49">
        <v>0</v>
      </c>
      <c r="O337" s="268">
        <v>0</v>
      </c>
    </row>
    <row r="338" spans="1:15" s="230" customFormat="1" ht="37.5">
      <c r="A338" s="495" t="s">
        <v>663</v>
      </c>
      <c r="B338" s="488" t="s">
        <v>655</v>
      </c>
      <c r="C338" s="45" t="s">
        <v>116</v>
      </c>
      <c r="D338" s="42"/>
      <c r="E338" s="48"/>
      <c r="F338" s="49">
        <f t="shared" si="82"/>
        <v>813.77403</v>
      </c>
      <c r="G338" s="49">
        <f aca="true" t="shared" si="88" ref="G338:O338">G339+G340+G342+G343+G344+G345</f>
        <v>0</v>
      </c>
      <c r="H338" s="49">
        <f t="shared" si="88"/>
        <v>0</v>
      </c>
      <c r="I338" s="49">
        <f t="shared" si="88"/>
        <v>0</v>
      </c>
      <c r="J338" s="49">
        <f t="shared" si="88"/>
        <v>0</v>
      </c>
      <c r="K338" s="49">
        <f t="shared" si="88"/>
        <v>0</v>
      </c>
      <c r="L338" s="49">
        <f t="shared" si="88"/>
        <v>0</v>
      </c>
      <c r="M338" s="49">
        <f t="shared" si="88"/>
        <v>200</v>
      </c>
      <c r="N338" s="49">
        <f t="shared" si="88"/>
        <v>318.02741</v>
      </c>
      <c r="O338" s="267">
        <f t="shared" si="88"/>
        <v>295.74662</v>
      </c>
    </row>
    <row r="339" spans="1:15" s="230" customFormat="1" ht="56.25">
      <c r="A339" s="495"/>
      <c r="B339" s="488"/>
      <c r="C339" s="45" t="s">
        <v>117</v>
      </c>
      <c r="D339" s="42"/>
      <c r="E339" s="48"/>
      <c r="F339" s="49">
        <f t="shared" si="82"/>
        <v>0</v>
      </c>
      <c r="G339" s="49">
        <v>0</v>
      </c>
      <c r="H339" s="49">
        <v>0</v>
      </c>
      <c r="I339" s="49">
        <v>0</v>
      </c>
      <c r="J339" s="49">
        <v>0</v>
      </c>
      <c r="K339" s="49">
        <v>0</v>
      </c>
      <c r="L339" s="49">
        <v>0</v>
      </c>
      <c r="M339" s="49">
        <v>0</v>
      </c>
      <c r="N339" s="49">
        <v>0</v>
      </c>
      <c r="O339" s="268">
        <v>0</v>
      </c>
    </row>
    <row r="340" spans="1:19" s="230" customFormat="1" ht="37.5">
      <c r="A340" s="495"/>
      <c r="B340" s="488"/>
      <c r="C340" s="45" t="s">
        <v>118</v>
      </c>
      <c r="D340" s="48" t="s">
        <v>142</v>
      </c>
      <c r="E340" s="48" t="s">
        <v>212</v>
      </c>
      <c r="F340" s="49">
        <f t="shared" si="82"/>
        <v>813.77403</v>
      </c>
      <c r="G340" s="49">
        <v>0</v>
      </c>
      <c r="H340" s="49">
        <v>0</v>
      </c>
      <c r="I340" s="49">
        <v>0</v>
      </c>
      <c r="J340" s="49">
        <v>0</v>
      </c>
      <c r="K340" s="49">
        <v>0</v>
      </c>
      <c r="L340" s="49">
        <v>0</v>
      </c>
      <c r="M340" s="296">
        <v>200</v>
      </c>
      <c r="N340" s="49">
        <v>318.02741</v>
      </c>
      <c r="O340" s="268">
        <v>295.74662</v>
      </c>
      <c r="Q340" s="230">
        <v>413216.00499000004</v>
      </c>
      <c r="R340" s="230">
        <v>325386.65009999997</v>
      </c>
      <c r="S340" s="230">
        <v>325455.1161</v>
      </c>
    </row>
    <row r="341" spans="1:15" s="230" customFormat="1" ht="37.5">
      <c r="A341" s="495"/>
      <c r="B341" s="488"/>
      <c r="C341" s="45" t="s">
        <v>118</v>
      </c>
      <c r="D341" s="48" t="s">
        <v>612</v>
      </c>
      <c r="E341" s="48"/>
      <c r="F341" s="49">
        <f t="shared" si="82"/>
        <v>1402.32094</v>
      </c>
      <c r="G341" s="49">
        <v>0</v>
      </c>
      <c r="H341" s="49">
        <v>0</v>
      </c>
      <c r="I341" s="49">
        <v>0</v>
      </c>
      <c r="J341" s="49">
        <v>0</v>
      </c>
      <c r="K341" s="49">
        <v>0</v>
      </c>
      <c r="L341" s="49">
        <v>966.735</v>
      </c>
      <c r="M341" s="296">
        <v>435.58594</v>
      </c>
      <c r="N341" s="49">
        <v>0</v>
      </c>
      <c r="O341" s="268">
        <v>0</v>
      </c>
    </row>
    <row r="342" spans="1:15" s="230" customFormat="1" ht="56.25">
      <c r="A342" s="495"/>
      <c r="B342" s="488"/>
      <c r="C342" s="45" t="s">
        <v>119</v>
      </c>
      <c r="D342" s="48"/>
      <c r="E342" s="48"/>
      <c r="F342" s="49">
        <f t="shared" si="82"/>
        <v>0</v>
      </c>
      <c r="G342" s="49">
        <v>0</v>
      </c>
      <c r="H342" s="49">
        <v>0</v>
      </c>
      <c r="I342" s="49">
        <v>0</v>
      </c>
      <c r="J342" s="49">
        <v>0</v>
      </c>
      <c r="K342" s="49">
        <v>0</v>
      </c>
      <c r="L342" s="49">
        <v>0</v>
      </c>
      <c r="M342" s="49">
        <v>0</v>
      </c>
      <c r="N342" s="49">
        <v>0</v>
      </c>
      <c r="O342" s="268">
        <v>0</v>
      </c>
    </row>
    <row r="343" spans="1:15" s="230" customFormat="1" ht="56.25">
      <c r="A343" s="495"/>
      <c r="B343" s="488"/>
      <c r="C343" s="45" t="s">
        <v>120</v>
      </c>
      <c r="D343" s="48"/>
      <c r="E343" s="48"/>
      <c r="F343" s="49">
        <f t="shared" si="82"/>
        <v>0</v>
      </c>
      <c r="G343" s="49">
        <v>0</v>
      </c>
      <c r="H343" s="49">
        <v>0</v>
      </c>
      <c r="I343" s="49">
        <v>0</v>
      </c>
      <c r="J343" s="49">
        <v>0</v>
      </c>
      <c r="K343" s="49">
        <v>0</v>
      </c>
      <c r="L343" s="49">
        <v>0</v>
      </c>
      <c r="M343" s="49">
        <v>0</v>
      </c>
      <c r="N343" s="49">
        <v>0</v>
      </c>
      <c r="O343" s="268">
        <v>0</v>
      </c>
    </row>
    <row r="344" spans="1:15" s="230" customFormat="1" ht="56.25">
      <c r="A344" s="495"/>
      <c r="B344" s="488"/>
      <c r="C344" s="45" t="s">
        <v>192</v>
      </c>
      <c r="D344" s="48"/>
      <c r="E344" s="48"/>
      <c r="F344" s="49">
        <f t="shared" si="82"/>
        <v>0</v>
      </c>
      <c r="G344" s="49">
        <v>0</v>
      </c>
      <c r="H344" s="49">
        <v>0</v>
      </c>
      <c r="I344" s="49">
        <v>0</v>
      </c>
      <c r="J344" s="49">
        <v>0</v>
      </c>
      <c r="K344" s="49">
        <v>0</v>
      </c>
      <c r="L344" s="49">
        <v>0</v>
      </c>
      <c r="M344" s="49">
        <v>0</v>
      </c>
      <c r="N344" s="49">
        <v>0</v>
      </c>
      <c r="O344" s="268">
        <v>0</v>
      </c>
    </row>
    <row r="345" spans="1:15" s="230" customFormat="1" ht="112.5">
      <c r="A345" s="495"/>
      <c r="B345" s="488"/>
      <c r="C345" s="45" t="s">
        <v>178</v>
      </c>
      <c r="D345" s="48"/>
      <c r="E345" s="48"/>
      <c r="F345" s="49">
        <f t="shared" si="82"/>
        <v>0</v>
      </c>
      <c r="G345" s="49">
        <v>0</v>
      </c>
      <c r="H345" s="49">
        <v>0</v>
      </c>
      <c r="I345" s="49">
        <v>0</v>
      </c>
      <c r="J345" s="49">
        <v>0</v>
      </c>
      <c r="K345" s="49">
        <v>0</v>
      </c>
      <c r="L345" s="49">
        <v>0</v>
      </c>
      <c r="M345" s="49">
        <v>0</v>
      </c>
      <c r="N345" s="49">
        <v>0</v>
      </c>
      <c r="O345" s="268">
        <v>0</v>
      </c>
    </row>
    <row r="346" spans="1:15" s="230" customFormat="1" ht="37.5">
      <c r="A346" s="495" t="s">
        <v>664</v>
      </c>
      <c r="B346" s="488" t="s">
        <v>657</v>
      </c>
      <c r="C346" s="45" t="s">
        <v>116</v>
      </c>
      <c r="D346" s="42"/>
      <c r="E346" s="48"/>
      <c r="F346" s="49">
        <f aca="true" t="shared" si="89" ref="F346:F353">G346+H346+I346+J346+K346+L346+M346+O346+N346</f>
        <v>251.297</v>
      </c>
      <c r="G346" s="49">
        <f aca="true" t="shared" si="90" ref="G346:O346">G347+G348+G350+G351+G352+G353</f>
        <v>0</v>
      </c>
      <c r="H346" s="49">
        <f t="shared" si="90"/>
        <v>0</v>
      </c>
      <c r="I346" s="49">
        <f t="shared" si="90"/>
        <v>0</v>
      </c>
      <c r="J346" s="49">
        <f t="shared" si="90"/>
        <v>0</v>
      </c>
      <c r="K346" s="49">
        <f t="shared" si="90"/>
        <v>0</v>
      </c>
      <c r="L346" s="49">
        <f t="shared" si="90"/>
        <v>251.297</v>
      </c>
      <c r="M346" s="49">
        <f t="shared" si="90"/>
        <v>0</v>
      </c>
      <c r="N346" s="49">
        <f t="shared" si="90"/>
        <v>0</v>
      </c>
      <c r="O346" s="267">
        <f t="shared" si="90"/>
        <v>0</v>
      </c>
    </row>
    <row r="347" spans="1:15" s="230" customFormat="1" ht="56.25">
      <c r="A347" s="495"/>
      <c r="B347" s="488"/>
      <c r="C347" s="45" t="s">
        <v>117</v>
      </c>
      <c r="D347" s="42"/>
      <c r="E347" s="48"/>
      <c r="F347" s="49">
        <f t="shared" si="89"/>
        <v>0</v>
      </c>
      <c r="G347" s="49">
        <v>0</v>
      </c>
      <c r="H347" s="49">
        <v>0</v>
      </c>
      <c r="I347" s="49">
        <v>0</v>
      </c>
      <c r="J347" s="49">
        <v>0</v>
      </c>
      <c r="K347" s="49">
        <v>0</v>
      </c>
      <c r="L347" s="49">
        <v>0</v>
      </c>
      <c r="M347" s="49">
        <v>0</v>
      </c>
      <c r="N347" s="49">
        <v>0</v>
      </c>
      <c r="O347" s="268">
        <v>0</v>
      </c>
    </row>
    <row r="348" spans="1:19" s="230" customFormat="1" ht="37.5">
      <c r="A348" s="495"/>
      <c r="B348" s="488"/>
      <c r="C348" s="45" t="s">
        <v>118</v>
      </c>
      <c r="D348" s="48" t="s">
        <v>612</v>
      </c>
      <c r="E348" s="48" t="s">
        <v>212</v>
      </c>
      <c r="F348" s="49">
        <f t="shared" si="89"/>
        <v>251.297</v>
      </c>
      <c r="G348" s="49">
        <v>0</v>
      </c>
      <c r="H348" s="49">
        <v>0</v>
      </c>
      <c r="I348" s="49">
        <v>0</v>
      </c>
      <c r="J348" s="49">
        <v>0</v>
      </c>
      <c r="K348" s="49">
        <v>0</v>
      </c>
      <c r="L348" s="49">
        <v>251.297</v>
      </c>
      <c r="M348" s="49">
        <v>0</v>
      </c>
      <c r="N348" s="49">
        <v>0</v>
      </c>
      <c r="O348" s="268">
        <v>0</v>
      </c>
      <c r="Q348" s="230">
        <v>413216.00499000004</v>
      </c>
      <c r="R348" s="230">
        <v>325386.65009999997</v>
      </c>
      <c r="S348" s="230">
        <v>325455.1161</v>
      </c>
    </row>
    <row r="349" spans="1:15" s="230" customFormat="1" ht="37.5">
      <c r="A349" s="495"/>
      <c r="B349" s="488"/>
      <c r="C349" s="45" t="s">
        <v>118</v>
      </c>
      <c r="D349" s="48"/>
      <c r="E349" s="48"/>
      <c r="F349" s="49">
        <f t="shared" si="89"/>
        <v>0</v>
      </c>
      <c r="G349" s="49">
        <v>0</v>
      </c>
      <c r="H349" s="49">
        <v>0</v>
      </c>
      <c r="I349" s="49">
        <v>0</v>
      </c>
      <c r="J349" s="49">
        <v>0</v>
      </c>
      <c r="K349" s="49">
        <v>0</v>
      </c>
      <c r="L349" s="49">
        <v>0</v>
      </c>
      <c r="M349" s="49">
        <v>0</v>
      </c>
      <c r="N349" s="49">
        <v>0</v>
      </c>
      <c r="O349" s="268">
        <v>0</v>
      </c>
    </row>
    <row r="350" spans="1:15" s="230" customFormat="1" ht="56.25">
      <c r="A350" s="495"/>
      <c r="B350" s="488"/>
      <c r="C350" s="45" t="s">
        <v>119</v>
      </c>
      <c r="D350" s="48"/>
      <c r="E350" s="48"/>
      <c r="F350" s="49">
        <f t="shared" si="89"/>
        <v>0</v>
      </c>
      <c r="G350" s="49">
        <v>0</v>
      </c>
      <c r="H350" s="49">
        <v>0</v>
      </c>
      <c r="I350" s="49">
        <v>0</v>
      </c>
      <c r="J350" s="49">
        <v>0</v>
      </c>
      <c r="K350" s="49">
        <v>0</v>
      </c>
      <c r="L350" s="49">
        <v>0</v>
      </c>
      <c r="M350" s="49">
        <v>0</v>
      </c>
      <c r="N350" s="49">
        <v>0</v>
      </c>
      <c r="O350" s="268">
        <v>0</v>
      </c>
    </row>
    <row r="351" spans="1:15" s="230" customFormat="1" ht="56.25">
      <c r="A351" s="495"/>
      <c r="B351" s="488"/>
      <c r="C351" s="45" t="s">
        <v>120</v>
      </c>
      <c r="D351" s="48"/>
      <c r="E351" s="48"/>
      <c r="F351" s="49">
        <f t="shared" si="89"/>
        <v>0</v>
      </c>
      <c r="G351" s="49">
        <v>0</v>
      </c>
      <c r="H351" s="49">
        <v>0</v>
      </c>
      <c r="I351" s="49">
        <v>0</v>
      </c>
      <c r="J351" s="49">
        <v>0</v>
      </c>
      <c r="K351" s="49">
        <v>0</v>
      </c>
      <c r="L351" s="49">
        <v>0</v>
      </c>
      <c r="M351" s="49">
        <v>0</v>
      </c>
      <c r="N351" s="49">
        <v>0</v>
      </c>
      <c r="O351" s="268">
        <v>0</v>
      </c>
    </row>
    <row r="352" spans="1:15" s="230" customFormat="1" ht="56.25">
      <c r="A352" s="495"/>
      <c r="B352" s="488"/>
      <c r="C352" s="45" t="s">
        <v>192</v>
      </c>
      <c r="D352" s="48"/>
      <c r="E352" s="48"/>
      <c r="F352" s="49">
        <f t="shared" si="89"/>
        <v>0</v>
      </c>
      <c r="G352" s="49">
        <v>0</v>
      </c>
      <c r="H352" s="49">
        <v>0</v>
      </c>
      <c r="I352" s="49">
        <v>0</v>
      </c>
      <c r="J352" s="49">
        <v>0</v>
      </c>
      <c r="K352" s="49">
        <v>0</v>
      </c>
      <c r="L352" s="49">
        <v>0</v>
      </c>
      <c r="M352" s="49">
        <v>0</v>
      </c>
      <c r="N352" s="49">
        <v>0</v>
      </c>
      <c r="O352" s="268">
        <v>0</v>
      </c>
    </row>
    <row r="353" spans="1:15" s="230" customFormat="1" ht="112.5">
      <c r="A353" s="495"/>
      <c r="B353" s="488"/>
      <c r="C353" s="45" t="s">
        <v>178</v>
      </c>
      <c r="D353" s="48"/>
      <c r="E353" s="48"/>
      <c r="F353" s="49">
        <f t="shared" si="89"/>
        <v>0</v>
      </c>
      <c r="G353" s="49">
        <v>0</v>
      </c>
      <c r="H353" s="49">
        <v>0</v>
      </c>
      <c r="I353" s="49">
        <v>0</v>
      </c>
      <c r="J353" s="49">
        <v>0</v>
      </c>
      <c r="K353" s="49">
        <v>0</v>
      </c>
      <c r="L353" s="49">
        <v>0</v>
      </c>
      <c r="M353" s="49">
        <v>0</v>
      </c>
      <c r="N353" s="49">
        <v>0</v>
      </c>
      <c r="O353" s="268">
        <v>0</v>
      </c>
    </row>
    <row r="354" spans="1:15" s="230" customFormat="1" ht="37.5">
      <c r="A354" s="495" t="s">
        <v>665</v>
      </c>
      <c r="B354" s="488" t="s">
        <v>658</v>
      </c>
      <c r="C354" s="45" t="s">
        <v>116</v>
      </c>
      <c r="D354" s="42"/>
      <c r="E354" s="48"/>
      <c r="F354" s="49">
        <f t="shared" si="82"/>
        <v>4751.314</v>
      </c>
      <c r="G354" s="49">
        <f aca="true" t="shared" si="91" ref="G354:O354">G355+G356+G358+G359+G360+G361</f>
        <v>0</v>
      </c>
      <c r="H354" s="49">
        <f t="shared" si="91"/>
        <v>0</v>
      </c>
      <c r="I354" s="49">
        <f t="shared" si="91"/>
        <v>0</v>
      </c>
      <c r="J354" s="49">
        <f t="shared" si="91"/>
        <v>0</v>
      </c>
      <c r="K354" s="49">
        <f t="shared" si="91"/>
        <v>0</v>
      </c>
      <c r="L354" s="49">
        <f t="shared" si="91"/>
        <v>0</v>
      </c>
      <c r="M354" s="49">
        <f t="shared" si="91"/>
        <v>4751.314</v>
      </c>
      <c r="N354" s="49">
        <f t="shared" si="91"/>
        <v>0</v>
      </c>
      <c r="O354" s="267">
        <f t="shared" si="91"/>
        <v>0</v>
      </c>
    </row>
    <row r="355" spans="1:15" s="230" customFormat="1" ht="56.25">
      <c r="A355" s="495"/>
      <c r="B355" s="488"/>
      <c r="C355" s="45" t="s">
        <v>117</v>
      </c>
      <c r="D355" s="42">
        <v>859</v>
      </c>
      <c r="E355" s="48"/>
      <c r="F355" s="49">
        <f t="shared" si="82"/>
        <v>4703.8</v>
      </c>
      <c r="G355" s="49">
        <v>0</v>
      </c>
      <c r="H355" s="49">
        <v>0</v>
      </c>
      <c r="I355" s="49">
        <v>0</v>
      </c>
      <c r="J355" s="49">
        <v>0</v>
      </c>
      <c r="K355" s="49">
        <v>0</v>
      </c>
      <c r="L355" s="49">
        <v>0</v>
      </c>
      <c r="M355" s="85">
        <v>4703.8</v>
      </c>
      <c r="N355" s="49">
        <v>0</v>
      </c>
      <c r="O355" s="268">
        <v>0</v>
      </c>
    </row>
    <row r="356" spans="1:19" s="230" customFormat="1" ht="37.5">
      <c r="A356" s="495"/>
      <c r="B356" s="488"/>
      <c r="C356" s="45" t="s">
        <v>118</v>
      </c>
      <c r="D356" s="48" t="s">
        <v>612</v>
      </c>
      <c r="E356" s="48" t="s">
        <v>212</v>
      </c>
      <c r="F356" s="49">
        <f t="shared" si="82"/>
        <v>47.514</v>
      </c>
      <c r="G356" s="49">
        <v>0</v>
      </c>
      <c r="H356" s="49">
        <v>0</v>
      </c>
      <c r="I356" s="49">
        <v>0</v>
      </c>
      <c r="J356" s="49">
        <v>0</v>
      </c>
      <c r="K356" s="49">
        <v>0</v>
      </c>
      <c r="L356" s="49">
        <v>0</v>
      </c>
      <c r="M356" s="85">
        <v>47.514</v>
      </c>
      <c r="N356" s="49">
        <v>0</v>
      </c>
      <c r="O356" s="268">
        <v>0</v>
      </c>
      <c r="Q356" s="230">
        <v>413216.00499000004</v>
      </c>
      <c r="R356" s="230">
        <v>325386.65009999997</v>
      </c>
      <c r="S356" s="230">
        <v>325455.1161</v>
      </c>
    </row>
    <row r="357" spans="1:15" s="230" customFormat="1" ht="37.5">
      <c r="A357" s="495"/>
      <c r="B357" s="488"/>
      <c r="C357" s="45" t="s">
        <v>118</v>
      </c>
      <c r="D357" s="48"/>
      <c r="E357" s="48"/>
      <c r="F357" s="49">
        <f t="shared" si="82"/>
        <v>0</v>
      </c>
      <c r="G357" s="49">
        <v>0</v>
      </c>
      <c r="H357" s="49">
        <v>0</v>
      </c>
      <c r="I357" s="49">
        <v>0</v>
      </c>
      <c r="J357" s="49">
        <v>0</v>
      </c>
      <c r="K357" s="49">
        <v>0</v>
      </c>
      <c r="L357" s="49">
        <v>0</v>
      </c>
      <c r="M357" s="49">
        <v>0</v>
      </c>
      <c r="N357" s="49">
        <v>0</v>
      </c>
      <c r="O357" s="268">
        <v>0</v>
      </c>
    </row>
    <row r="358" spans="1:15" s="230" customFormat="1" ht="56.25">
      <c r="A358" s="495"/>
      <c r="B358" s="488"/>
      <c r="C358" s="45" t="s">
        <v>119</v>
      </c>
      <c r="D358" s="48"/>
      <c r="E358" s="48"/>
      <c r="F358" s="49">
        <f t="shared" si="82"/>
        <v>0</v>
      </c>
      <c r="G358" s="49">
        <v>0</v>
      </c>
      <c r="H358" s="49">
        <v>0</v>
      </c>
      <c r="I358" s="49">
        <v>0</v>
      </c>
      <c r="J358" s="49">
        <v>0</v>
      </c>
      <c r="K358" s="49">
        <v>0</v>
      </c>
      <c r="L358" s="49">
        <v>0</v>
      </c>
      <c r="M358" s="49">
        <v>0</v>
      </c>
      <c r="N358" s="49">
        <v>0</v>
      </c>
      <c r="O358" s="268">
        <v>0</v>
      </c>
    </row>
    <row r="359" spans="1:15" s="230" customFormat="1" ht="56.25">
      <c r="A359" s="495"/>
      <c r="B359" s="488"/>
      <c r="C359" s="45" t="s">
        <v>120</v>
      </c>
      <c r="D359" s="48"/>
      <c r="E359" s="48"/>
      <c r="F359" s="49">
        <f t="shared" si="82"/>
        <v>0</v>
      </c>
      <c r="G359" s="49">
        <v>0</v>
      </c>
      <c r="H359" s="49">
        <v>0</v>
      </c>
      <c r="I359" s="49">
        <v>0</v>
      </c>
      <c r="J359" s="49">
        <v>0</v>
      </c>
      <c r="K359" s="49">
        <v>0</v>
      </c>
      <c r="L359" s="49">
        <v>0</v>
      </c>
      <c r="M359" s="49">
        <v>0</v>
      </c>
      <c r="N359" s="49">
        <v>0</v>
      </c>
      <c r="O359" s="268">
        <v>0</v>
      </c>
    </row>
    <row r="360" spans="1:15" s="230" customFormat="1" ht="56.25">
      <c r="A360" s="495"/>
      <c r="B360" s="488"/>
      <c r="C360" s="45" t="s">
        <v>192</v>
      </c>
      <c r="D360" s="48"/>
      <c r="E360" s="48"/>
      <c r="F360" s="49">
        <f t="shared" si="82"/>
        <v>0</v>
      </c>
      <c r="G360" s="49">
        <v>0</v>
      </c>
      <c r="H360" s="49">
        <v>0</v>
      </c>
      <c r="I360" s="49">
        <v>0</v>
      </c>
      <c r="J360" s="49">
        <v>0</v>
      </c>
      <c r="K360" s="49">
        <v>0</v>
      </c>
      <c r="L360" s="49">
        <v>0</v>
      </c>
      <c r="M360" s="49">
        <v>0</v>
      </c>
      <c r="N360" s="49">
        <v>0</v>
      </c>
      <c r="O360" s="268">
        <v>0</v>
      </c>
    </row>
    <row r="361" spans="1:15" s="230" customFormat="1" ht="112.5">
      <c r="A361" s="495"/>
      <c r="B361" s="488"/>
      <c r="C361" s="45" t="s">
        <v>178</v>
      </c>
      <c r="D361" s="48"/>
      <c r="E361" s="48"/>
      <c r="F361" s="49">
        <f t="shared" si="82"/>
        <v>0</v>
      </c>
      <c r="G361" s="49">
        <v>0</v>
      </c>
      <c r="H361" s="49">
        <v>0</v>
      </c>
      <c r="I361" s="49">
        <v>0</v>
      </c>
      <c r="J361" s="49">
        <v>0</v>
      </c>
      <c r="K361" s="49">
        <v>0</v>
      </c>
      <c r="L361" s="49">
        <v>0</v>
      </c>
      <c r="M361" s="49">
        <v>0</v>
      </c>
      <c r="N361" s="49">
        <v>0</v>
      </c>
      <c r="O361" s="268">
        <v>0</v>
      </c>
    </row>
    <row r="362" spans="1:15" s="230" customFormat="1" ht="37.5">
      <c r="A362" s="487" t="s">
        <v>140</v>
      </c>
      <c r="B362" s="511" t="s">
        <v>216</v>
      </c>
      <c r="C362" s="60" t="s">
        <v>116</v>
      </c>
      <c r="D362" s="42"/>
      <c r="E362" s="48"/>
      <c r="F362" s="49">
        <f t="shared" si="82"/>
        <v>3198119.1431800006</v>
      </c>
      <c r="G362" s="63">
        <f aca="true" t="shared" si="92" ref="G362:O362">G363+G364+G372+G373+G374+G375</f>
        <v>466636.42</v>
      </c>
      <c r="H362" s="63">
        <f t="shared" si="92"/>
        <v>415599.93843</v>
      </c>
      <c r="I362" s="63">
        <f t="shared" si="92"/>
        <v>406237.16435000004</v>
      </c>
      <c r="J362" s="63">
        <f t="shared" si="92"/>
        <v>485472.79709</v>
      </c>
      <c r="K362" s="63">
        <f t="shared" si="92"/>
        <v>362687.52306000004</v>
      </c>
      <c r="L362" s="63">
        <f t="shared" si="92"/>
        <v>377406.87707000005</v>
      </c>
      <c r="M362" s="63">
        <f t="shared" si="92"/>
        <v>398020.36737999995</v>
      </c>
      <c r="N362" s="63">
        <f>N363+N364+N372+N373+N374+N375</f>
        <v>145442.5317</v>
      </c>
      <c r="O362" s="272">
        <f t="shared" si="92"/>
        <v>140615.52409999998</v>
      </c>
    </row>
    <row r="363" spans="1:15" s="230" customFormat="1" ht="56.25">
      <c r="A363" s="487"/>
      <c r="B363" s="511"/>
      <c r="C363" s="60" t="s">
        <v>117</v>
      </c>
      <c r="D363" s="42"/>
      <c r="E363" s="48"/>
      <c r="F363" s="49">
        <f t="shared" si="82"/>
        <v>62431.2</v>
      </c>
      <c r="G363" s="63">
        <f>G377+G386+G396+G406+G413+G420+G433+G442</f>
        <v>52471.1</v>
      </c>
      <c r="H363" s="63">
        <f>H377+H386+H396+H406+H413+H420+H433+H442</f>
        <v>0</v>
      </c>
      <c r="I363" s="63">
        <f>I377+I386+I396+I406+I413+I420+I433+I442</f>
        <v>9960.1</v>
      </c>
      <c r="J363" s="63">
        <f>J377+J386+J396+J406+J413+J420+J433+J442</f>
        <v>0</v>
      </c>
      <c r="K363" s="63">
        <v>0</v>
      </c>
      <c r="L363" s="63">
        <v>0</v>
      </c>
      <c r="M363" s="63">
        <v>0</v>
      </c>
      <c r="N363" s="59">
        <v>0</v>
      </c>
      <c r="O363" s="269">
        <v>0</v>
      </c>
    </row>
    <row r="364" spans="1:15" s="230" customFormat="1" ht="75">
      <c r="A364" s="487"/>
      <c r="B364" s="511"/>
      <c r="C364" s="60" t="s">
        <v>122</v>
      </c>
      <c r="D364" s="42"/>
      <c r="E364" s="48"/>
      <c r="F364" s="49">
        <f t="shared" si="82"/>
        <v>2879235.0408599996</v>
      </c>
      <c r="G364" s="63">
        <f>G365+G366+G367+G368+G369</f>
        <v>394531.5</v>
      </c>
      <c r="H364" s="63">
        <f>H365+H366+H367+H368+H369</f>
        <v>395001.03842999996</v>
      </c>
      <c r="I364" s="63">
        <f>I365+I366+I367+I368+I369+I370</f>
        <v>375678.16435000004</v>
      </c>
      <c r="J364" s="63">
        <f>J365+J366+J367+J368+J369+J370</f>
        <v>441698.71409</v>
      </c>
      <c r="K364" s="63">
        <f>K365+K366+K367+K368+K369+K370</f>
        <v>332029.05306</v>
      </c>
      <c r="L364" s="63">
        <f>L365+L366+L367+L368+L369+L370+L371</f>
        <v>346748.40707</v>
      </c>
      <c r="M364" s="63">
        <f>M365+M366+M367+M368+M369+M370+M371</f>
        <v>367936.89738</v>
      </c>
      <c r="N364" s="63">
        <f>N365+N366+N367+N368+N369+N370+N371</f>
        <v>115219.13704</v>
      </c>
      <c r="O364" s="63">
        <f>O365+O366+O367+O368+O369+O370+O371</f>
        <v>110392.12943999999</v>
      </c>
    </row>
    <row r="365" spans="1:15" s="230" customFormat="1" ht="37.5">
      <c r="A365" s="487"/>
      <c r="B365" s="511"/>
      <c r="C365" s="60" t="s">
        <v>118</v>
      </c>
      <c r="D365" s="48" t="s">
        <v>109</v>
      </c>
      <c r="E365" s="48" t="s">
        <v>213</v>
      </c>
      <c r="F365" s="49">
        <f t="shared" si="82"/>
        <v>483668.00255000003</v>
      </c>
      <c r="G365" s="49">
        <f aca="true" t="shared" si="93" ref="G365:O365">G379+G389+G400+G407+G423+G424+G435</f>
        <v>123865.38000000002</v>
      </c>
      <c r="H365" s="49">
        <f t="shared" si="93"/>
        <v>136463.25441</v>
      </c>
      <c r="I365" s="49">
        <f t="shared" si="93"/>
        <v>132726.64142000003</v>
      </c>
      <c r="J365" s="49">
        <f t="shared" si="93"/>
        <v>29706.022419999998</v>
      </c>
      <c r="K365" s="49">
        <f t="shared" si="93"/>
        <v>20681.2543</v>
      </c>
      <c r="L365" s="49">
        <f t="shared" si="93"/>
        <v>19211.45</v>
      </c>
      <c r="M365" s="49">
        <f t="shared" si="93"/>
        <v>21014</v>
      </c>
      <c r="N365" s="49">
        <f t="shared" si="93"/>
        <v>0</v>
      </c>
      <c r="O365" s="267">
        <f t="shared" si="93"/>
        <v>0</v>
      </c>
    </row>
    <row r="366" spans="1:15" s="230" customFormat="1" ht="37.5">
      <c r="A366" s="487"/>
      <c r="B366" s="511"/>
      <c r="C366" s="60" t="s">
        <v>118</v>
      </c>
      <c r="D366" s="48" t="s">
        <v>141</v>
      </c>
      <c r="E366" s="48" t="s">
        <v>213</v>
      </c>
      <c r="F366" s="49">
        <f t="shared" si="82"/>
        <v>440706.19107</v>
      </c>
      <c r="G366" s="63">
        <f aca="true" t="shared" si="94" ref="G366:O366">G398+G414+G422+G443</f>
        <v>1923</v>
      </c>
      <c r="H366" s="63">
        <f t="shared" si="94"/>
        <v>57919</v>
      </c>
      <c r="I366" s="63">
        <f t="shared" si="94"/>
        <v>61043.528000000006</v>
      </c>
      <c r="J366" s="63">
        <f t="shared" si="94"/>
        <v>61084.2</v>
      </c>
      <c r="K366" s="63">
        <f t="shared" si="94"/>
        <v>73400</v>
      </c>
      <c r="L366" s="63">
        <f t="shared" si="94"/>
        <v>75200.96307</v>
      </c>
      <c r="M366" s="63">
        <f t="shared" si="94"/>
        <v>75685</v>
      </c>
      <c r="N366" s="63">
        <f>N398+N414+N422+N443</f>
        <v>17850</v>
      </c>
      <c r="O366" s="272">
        <f t="shared" si="94"/>
        <v>16600.5</v>
      </c>
    </row>
    <row r="367" spans="1:15" s="230" customFormat="1" ht="37.5">
      <c r="A367" s="487"/>
      <c r="B367" s="511"/>
      <c r="C367" s="60" t="s">
        <v>118</v>
      </c>
      <c r="D367" s="48" t="s">
        <v>142</v>
      </c>
      <c r="E367" s="48" t="s">
        <v>213</v>
      </c>
      <c r="F367" s="49">
        <f t="shared" si="82"/>
        <v>1430964.42793</v>
      </c>
      <c r="G367" s="63">
        <f>G388+G399</f>
        <v>80743.12</v>
      </c>
      <c r="H367" s="63">
        <f>H388+H399</f>
        <v>85900.77872999999</v>
      </c>
      <c r="I367" s="63">
        <f>I388+I399</f>
        <v>104102.105</v>
      </c>
      <c r="J367" s="63">
        <f aca="true" t="shared" si="95" ref="J367:O367">J388+J399+J380+J436</f>
        <v>207585.96758</v>
      </c>
      <c r="K367" s="63">
        <f t="shared" si="95"/>
        <v>237947.79876</v>
      </c>
      <c r="L367" s="63">
        <f t="shared" si="95"/>
        <v>252285.994</v>
      </c>
      <c r="M367" s="63">
        <f t="shared" si="95"/>
        <v>271237.89738</v>
      </c>
      <c r="N367" s="63">
        <f t="shared" si="95"/>
        <v>97369.13704</v>
      </c>
      <c r="O367" s="272">
        <f t="shared" si="95"/>
        <v>93791.62943999999</v>
      </c>
    </row>
    <row r="368" spans="1:15" s="230" customFormat="1" ht="37.5">
      <c r="A368" s="487"/>
      <c r="B368" s="511"/>
      <c r="C368" s="60" t="s">
        <v>118</v>
      </c>
      <c r="D368" s="48" t="s">
        <v>110</v>
      </c>
      <c r="E368" s="48" t="s">
        <v>213</v>
      </c>
      <c r="F368" s="49">
        <f t="shared" si="82"/>
        <v>0</v>
      </c>
      <c r="G368" s="63">
        <f aca="true" t="shared" si="96" ref="G368:O368">G427</f>
        <v>0</v>
      </c>
      <c r="H368" s="63">
        <f t="shared" si="96"/>
        <v>0</v>
      </c>
      <c r="I368" s="63">
        <f t="shared" si="96"/>
        <v>0</v>
      </c>
      <c r="J368" s="63">
        <f t="shared" si="96"/>
        <v>0</v>
      </c>
      <c r="K368" s="63">
        <f t="shared" si="96"/>
        <v>0</v>
      </c>
      <c r="L368" s="63">
        <f t="shared" si="96"/>
        <v>0</v>
      </c>
      <c r="M368" s="63">
        <f t="shared" si="96"/>
        <v>0</v>
      </c>
      <c r="N368" s="63">
        <f>N427</f>
        <v>0</v>
      </c>
      <c r="O368" s="272">
        <f t="shared" si="96"/>
        <v>0</v>
      </c>
    </row>
    <row r="369" spans="1:15" s="230" customFormat="1" ht="37.5">
      <c r="A369" s="487"/>
      <c r="B369" s="511"/>
      <c r="C369" s="60" t="s">
        <v>118</v>
      </c>
      <c r="D369" s="48" t="s">
        <v>111</v>
      </c>
      <c r="E369" s="48" t="s">
        <v>213</v>
      </c>
      <c r="F369" s="49">
        <f t="shared" si="82"/>
        <v>302718.00529</v>
      </c>
      <c r="G369" s="63">
        <f aca="true" t="shared" si="97" ref="G369:O370">G425</f>
        <v>188000</v>
      </c>
      <c r="H369" s="63">
        <f t="shared" si="97"/>
        <v>114718.00529</v>
      </c>
      <c r="I369" s="63">
        <f t="shared" si="97"/>
        <v>0</v>
      </c>
      <c r="J369" s="63">
        <f t="shared" si="97"/>
        <v>0</v>
      </c>
      <c r="K369" s="63">
        <f t="shared" si="97"/>
        <v>0</v>
      </c>
      <c r="L369" s="63">
        <f t="shared" si="97"/>
        <v>0</v>
      </c>
      <c r="M369" s="63">
        <f t="shared" si="97"/>
        <v>0</v>
      </c>
      <c r="N369" s="63">
        <f>N425</f>
        <v>0</v>
      </c>
      <c r="O369" s="272">
        <f t="shared" si="97"/>
        <v>0</v>
      </c>
    </row>
    <row r="370" spans="1:15" s="230" customFormat="1" ht="37.5">
      <c r="A370" s="487"/>
      <c r="B370" s="511"/>
      <c r="C370" s="60" t="s">
        <v>118</v>
      </c>
      <c r="D370" s="48" t="s">
        <v>67</v>
      </c>
      <c r="E370" s="48" t="s">
        <v>213</v>
      </c>
      <c r="F370" s="49">
        <f t="shared" si="82"/>
        <v>221128.41402</v>
      </c>
      <c r="G370" s="63">
        <f t="shared" si="97"/>
        <v>0</v>
      </c>
      <c r="H370" s="63">
        <f t="shared" si="97"/>
        <v>0</v>
      </c>
      <c r="I370" s="63">
        <f t="shared" si="97"/>
        <v>77805.88993</v>
      </c>
      <c r="J370" s="63">
        <f t="shared" si="97"/>
        <v>143322.52409</v>
      </c>
      <c r="K370" s="63">
        <f t="shared" si="97"/>
        <v>0</v>
      </c>
      <c r="L370" s="63">
        <f t="shared" si="97"/>
        <v>0</v>
      </c>
      <c r="M370" s="63">
        <f t="shared" si="97"/>
        <v>0</v>
      </c>
      <c r="N370" s="63">
        <f>N426</f>
        <v>0</v>
      </c>
      <c r="O370" s="272">
        <f t="shared" si="97"/>
        <v>0</v>
      </c>
    </row>
    <row r="371" spans="1:15" s="230" customFormat="1" ht="37.5">
      <c r="A371" s="487"/>
      <c r="B371" s="511"/>
      <c r="C371" s="60" t="s">
        <v>118</v>
      </c>
      <c r="D371" s="48" t="s">
        <v>612</v>
      </c>
      <c r="E371" s="48"/>
      <c r="F371" s="49">
        <f t="shared" si="82"/>
        <v>50</v>
      </c>
      <c r="G371" s="63">
        <f>G390</f>
        <v>0</v>
      </c>
      <c r="H371" s="63">
        <f aca="true" t="shared" si="98" ref="H371:O371">H390</f>
        <v>0</v>
      </c>
      <c r="I371" s="63">
        <f t="shared" si="98"/>
        <v>0</v>
      </c>
      <c r="J371" s="63">
        <f t="shared" si="98"/>
        <v>0</v>
      </c>
      <c r="K371" s="63">
        <f t="shared" si="98"/>
        <v>0</v>
      </c>
      <c r="L371" s="63">
        <f t="shared" si="98"/>
        <v>50</v>
      </c>
      <c r="M371" s="63">
        <f t="shared" si="98"/>
        <v>0</v>
      </c>
      <c r="N371" s="63">
        <f t="shared" si="98"/>
        <v>0</v>
      </c>
      <c r="O371" s="63">
        <f t="shared" si="98"/>
        <v>0</v>
      </c>
    </row>
    <row r="372" spans="1:15" s="230" customFormat="1" ht="56.25">
      <c r="A372" s="487"/>
      <c r="B372" s="511"/>
      <c r="C372" s="60" t="s">
        <v>119</v>
      </c>
      <c r="D372" s="48"/>
      <c r="E372" s="48"/>
      <c r="F372" s="49">
        <f t="shared" si="82"/>
        <v>253002.90232</v>
      </c>
      <c r="G372" s="63">
        <f aca="true" t="shared" si="99" ref="G372:O372">G381++G401+G408+G415+G428+G437+G444+G391</f>
        <v>19058.82</v>
      </c>
      <c r="H372" s="63">
        <f t="shared" si="99"/>
        <v>20023.9</v>
      </c>
      <c r="I372" s="63">
        <f t="shared" si="99"/>
        <v>20023.9</v>
      </c>
      <c r="J372" s="63">
        <f t="shared" si="99"/>
        <v>43199.083</v>
      </c>
      <c r="K372" s="63">
        <f t="shared" si="99"/>
        <v>30083.47</v>
      </c>
      <c r="L372" s="63">
        <f t="shared" si="99"/>
        <v>30083.47</v>
      </c>
      <c r="M372" s="63">
        <f t="shared" si="99"/>
        <v>30083.47</v>
      </c>
      <c r="N372" s="63">
        <f t="shared" si="99"/>
        <v>30223.39466</v>
      </c>
      <c r="O372" s="272">
        <f t="shared" si="99"/>
        <v>30223.39466</v>
      </c>
    </row>
    <row r="373" spans="1:15" s="230" customFormat="1" ht="56.25">
      <c r="A373" s="487"/>
      <c r="B373" s="511"/>
      <c r="C373" s="60" t="s">
        <v>120</v>
      </c>
      <c r="D373" s="48"/>
      <c r="E373" s="48"/>
      <c r="F373" s="49">
        <f t="shared" si="82"/>
        <v>0</v>
      </c>
      <c r="G373" s="63">
        <f aca="true" t="shared" si="100" ref="G373:J375">G382+G392+G402+G409+G416+G429+G438+G445</f>
        <v>0</v>
      </c>
      <c r="H373" s="63">
        <f t="shared" si="100"/>
        <v>0</v>
      </c>
      <c r="I373" s="63">
        <f t="shared" si="100"/>
        <v>0</v>
      </c>
      <c r="J373" s="63">
        <f t="shared" si="100"/>
        <v>0</v>
      </c>
      <c r="K373" s="63">
        <v>0</v>
      </c>
      <c r="L373" s="63">
        <v>0</v>
      </c>
      <c r="M373" s="63">
        <v>0</v>
      </c>
      <c r="N373" s="59">
        <v>0</v>
      </c>
      <c r="O373" s="269">
        <v>0</v>
      </c>
    </row>
    <row r="374" spans="1:15" s="230" customFormat="1" ht="56.25">
      <c r="A374" s="487"/>
      <c r="B374" s="511"/>
      <c r="C374" s="60" t="s">
        <v>192</v>
      </c>
      <c r="D374" s="48"/>
      <c r="E374" s="48"/>
      <c r="F374" s="49">
        <f t="shared" si="82"/>
        <v>3450</v>
      </c>
      <c r="G374" s="63">
        <f t="shared" si="100"/>
        <v>575</v>
      </c>
      <c r="H374" s="63">
        <f t="shared" si="100"/>
        <v>575</v>
      </c>
      <c r="I374" s="63">
        <f t="shared" si="100"/>
        <v>575</v>
      </c>
      <c r="J374" s="63">
        <f t="shared" si="100"/>
        <v>575</v>
      </c>
      <c r="K374" s="63">
        <f>K383+K393+K403+K410+K417+K430+K439+K446</f>
        <v>575</v>
      </c>
      <c r="L374" s="63">
        <f>L383+L393+L403+L410+L417+L430+L439+L446</f>
        <v>575</v>
      </c>
      <c r="M374" s="63">
        <f>M383+M393+M403+M410+M417+M430+M439+M446</f>
        <v>0</v>
      </c>
      <c r="N374" s="63">
        <f>N383+N393+N403+N410+N417+N430+N439+N446</f>
        <v>0</v>
      </c>
      <c r="O374" s="272">
        <f>O383+O393+O403+O410+O417+O430+O439+O446</f>
        <v>0</v>
      </c>
    </row>
    <row r="375" spans="1:15" s="230" customFormat="1" ht="112.5">
      <c r="A375" s="487"/>
      <c r="B375" s="511"/>
      <c r="C375" s="60" t="s">
        <v>178</v>
      </c>
      <c r="D375" s="48"/>
      <c r="E375" s="48"/>
      <c r="F375" s="49">
        <f t="shared" si="82"/>
        <v>0</v>
      </c>
      <c r="G375" s="63">
        <f t="shared" si="100"/>
        <v>0</v>
      </c>
      <c r="H375" s="63">
        <f t="shared" si="100"/>
        <v>0</v>
      </c>
      <c r="I375" s="63">
        <f t="shared" si="100"/>
        <v>0</v>
      </c>
      <c r="J375" s="63">
        <f t="shared" si="100"/>
        <v>0</v>
      </c>
      <c r="K375" s="63">
        <v>0</v>
      </c>
      <c r="L375" s="63">
        <v>0</v>
      </c>
      <c r="M375" s="63">
        <v>0</v>
      </c>
      <c r="N375" s="59">
        <v>0</v>
      </c>
      <c r="O375" s="269">
        <v>0</v>
      </c>
    </row>
    <row r="376" spans="1:15" s="230" customFormat="1" ht="37.5">
      <c r="A376" s="487" t="s">
        <v>92</v>
      </c>
      <c r="B376" s="510" t="s">
        <v>594</v>
      </c>
      <c r="C376" s="60" t="s">
        <v>116</v>
      </c>
      <c r="D376" s="42"/>
      <c r="E376" s="48"/>
      <c r="F376" s="49">
        <f t="shared" si="82"/>
        <v>1234.7</v>
      </c>
      <c r="G376" s="63">
        <f>G377+G378+G381</f>
        <v>1176.7</v>
      </c>
      <c r="H376" s="63">
        <f>H377+H378+H381</f>
        <v>28</v>
      </c>
      <c r="I376" s="63">
        <f aca="true" t="shared" si="101" ref="I376:O376">I377+I378+I381</f>
        <v>30</v>
      </c>
      <c r="J376" s="63">
        <f t="shared" si="101"/>
        <v>0</v>
      </c>
      <c r="K376" s="63">
        <f t="shared" si="101"/>
        <v>0</v>
      </c>
      <c r="L376" s="63">
        <f t="shared" si="101"/>
        <v>0</v>
      </c>
      <c r="M376" s="63">
        <f t="shared" si="101"/>
        <v>0</v>
      </c>
      <c r="N376" s="63">
        <f>N377+N378+N381</f>
        <v>0</v>
      </c>
      <c r="O376" s="272">
        <f t="shared" si="101"/>
        <v>0</v>
      </c>
    </row>
    <row r="377" spans="1:15" s="230" customFormat="1" ht="56.25">
      <c r="A377" s="487"/>
      <c r="B377" s="510"/>
      <c r="C377" s="60" t="s">
        <v>117</v>
      </c>
      <c r="D377" s="42"/>
      <c r="E377" s="48"/>
      <c r="F377" s="49">
        <f t="shared" si="82"/>
        <v>0</v>
      </c>
      <c r="G377" s="63">
        <f>'приложение 8'!D1084</f>
        <v>0</v>
      </c>
      <c r="H377" s="63">
        <f>'приложение 8'!E1084</f>
        <v>0</v>
      </c>
      <c r="I377" s="63">
        <f>'приложение 8'!F1084</f>
        <v>0</v>
      </c>
      <c r="J377" s="63">
        <f>'приложение 8'!G1084</f>
        <v>0</v>
      </c>
      <c r="K377" s="63">
        <v>0</v>
      </c>
      <c r="L377" s="63">
        <v>0</v>
      </c>
      <c r="M377" s="63">
        <v>0</v>
      </c>
      <c r="N377" s="59">
        <v>0</v>
      </c>
      <c r="O377" s="269">
        <v>0</v>
      </c>
    </row>
    <row r="378" spans="1:15" s="230" customFormat="1" ht="75">
      <c r="A378" s="487"/>
      <c r="B378" s="510"/>
      <c r="C378" s="60" t="s">
        <v>122</v>
      </c>
      <c r="D378" s="42"/>
      <c r="E378" s="48"/>
      <c r="F378" s="49">
        <f t="shared" si="82"/>
        <v>1234.7</v>
      </c>
      <c r="G378" s="49">
        <f aca="true" t="shared" si="102" ref="G378:O378">G379+G380</f>
        <v>1176.7</v>
      </c>
      <c r="H378" s="49">
        <f t="shared" si="102"/>
        <v>28</v>
      </c>
      <c r="I378" s="49">
        <f t="shared" si="102"/>
        <v>30</v>
      </c>
      <c r="J378" s="49">
        <f t="shared" si="102"/>
        <v>0</v>
      </c>
      <c r="K378" s="49">
        <f t="shared" si="102"/>
        <v>0</v>
      </c>
      <c r="L378" s="49">
        <f t="shared" si="102"/>
        <v>0</v>
      </c>
      <c r="M378" s="49">
        <f t="shared" si="102"/>
        <v>0</v>
      </c>
      <c r="N378" s="49">
        <f>N379+N380</f>
        <v>0</v>
      </c>
      <c r="O378" s="267">
        <f t="shared" si="102"/>
        <v>0</v>
      </c>
    </row>
    <row r="379" spans="1:15" s="230" customFormat="1" ht="37.5">
      <c r="A379" s="487"/>
      <c r="B379" s="510"/>
      <c r="C379" s="60" t="s">
        <v>118</v>
      </c>
      <c r="D379" s="48" t="s">
        <v>109</v>
      </c>
      <c r="E379" s="48" t="s">
        <v>213</v>
      </c>
      <c r="F379" s="49">
        <f t="shared" si="82"/>
        <v>1234.7</v>
      </c>
      <c r="G379" s="63">
        <f>'приложение 8'!D1085</f>
        <v>1176.7</v>
      </c>
      <c r="H379" s="63">
        <f>'приложение 8'!E1085</f>
        <v>28</v>
      </c>
      <c r="I379" s="63">
        <f>'приложение 8'!F1085</f>
        <v>30</v>
      </c>
      <c r="J379" s="63">
        <v>0</v>
      </c>
      <c r="K379" s="63">
        <v>0</v>
      </c>
      <c r="L379" s="63">
        <v>0</v>
      </c>
      <c r="M379" s="63">
        <v>0</v>
      </c>
      <c r="N379" s="59">
        <v>0</v>
      </c>
      <c r="O379" s="269">
        <v>0</v>
      </c>
    </row>
    <row r="380" spans="1:15" s="230" customFormat="1" ht="36" customHeight="1" hidden="1">
      <c r="A380" s="487"/>
      <c r="B380" s="510"/>
      <c r="C380" s="60" t="s">
        <v>118</v>
      </c>
      <c r="D380" s="48" t="s">
        <v>142</v>
      </c>
      <c r="E380" s="48" t="s">
        <v>213</v>
      </c>
      <c r="F380" s="49">
        <f t="shared" si="82"/>
        <v>0</v>
      </c>
      <c r="G380" s="63">
        <v>0</v>
      </c>
      <c r="H380" s="63">
        <v>0</v>
      </c>
      <c r="I380" s="63">
        <v>0</v>
      </c>
      <c r="J380" s="63">
        <f>'приложение 8'!G1085</f>
        <v>0</v>
      </c>
      <c r="K380" s="63">
        <v>0</v>
      </c>
      <c r="L380" s="63">
        <v>0</v>
      </c>
      <c r="M380" s="63">
        <v>0</v>
      </c>
      <c r="N380" s="59">
        <v>0</v>
      </c>
      <c r="O380" s="269">
        <v>0</v>
      </c>
    </row>
    <row r="381" spans="1:15" s="230" customFormat="1" ht="36" customHeight="1" hidden="1">
      <c r="A381" s="487"/>
      <c r="B381" s="510"/>
      <c r="C381" s="60" t="s">
        <v>119</v>
      </c>
      <c r="D381" s="48"/>
      <c r="E381" s="48"/>
      <c r="F381" s="49">
        <f t="shared" si="82"/>
        <v>0</v>
      </c>
      <c r="G381" s="63">
        <f>'приложение 8'!D1086</f>
        <v>0</v>
      </c>
      <c r="H381" s="63">
        <f>'приложение 8'!E1086</f>
        <v>0</v>
      </c>
      <c r="I381" s="63">
        <f>'приложение 8'!F1086</f>
        <v>0</v>
      </c>
      <c r="J381" s="63">
        <f>'приложение 8'!G1086</f>
        <v>0</v>
      </c>
      <c r="K381" s="63">
        <v>0</v>
      </c>
      <c r="L381" s="63">
        <v>0</v>
      </c>
      <c r="M381" s="63">
        <v>0</v>
      </c>
      <c r="N381" s="59">
        <v>0</v>
      </c>
      <c r="O381" s="269">
        <v>0</v>
      </c>
    </row>
    <row r="382" spans="1:15" s="230" customFormat="1" ht="56.25">
      <c r="A382" s="487"/>
      <c r="B382" s="510"/>
      <c r="C382" s="60" t="s">
        <v>120</v>
      </c>
      <c r="D382" s="48"/>
      <c r="E382" s="48"/>
      <c r="F382" s="49">
        <f t="shared" si="82"/>
        <v>0</v>
      </c>
      <c r="G382" s="63">
        <f>'приложение 8'!D1087</f>
        <v>0</v>
      </c>
      <c r="H382" s="63">
        <f>'приложение 8'!E1087</f>
        <v>0</v>
      </c>
      <c r="I382" s="63">
        <f>'приложение 8'!F1087</f>
        <v>0</v>
      </c>
      <c r="J382" s="63">
        <f>'приложение 8'!G1087</f>
        <v>0</v>
      </c>
      <c r="K382" s="63">
        <v>0</v>
      </c>
      <c r="L382" s="63">
        <v>0</v>
      </c>
      <c r="M382" s="63">
        <v>0</v>
      </c>
      <c r="N382" s="59">
        <v>0</v>
      </c>
      <c r="O382" s="269">
        <v>0</v>
      </c>
    </row>
    <row r="383" spans="1:15" s="230" customFormat="1" ht="56.25">
      <c r="A383" s="487"/>
      <c r="B383" s="510"/>
      <c r="C383" s="60" t="s">
        <v>192</v>
      </c>
      <c r="D383" s="48"/>
      <c r="E383" s="48"/>
      <c r="F383" s="49">
        <f t="shared" si="82"/>
        <v>0</v>
      </c>
      <c r="G383" s="63">
        <v>0</v>
      </c>
      <c r="H383" s="63">
        <v>0</v>
      </c>
      <c r="I383" s="63">
        <v>0</v>
      </c>
      <c r="J383" s="63">
        <v>0</v>
      </c>
      <c r="K383" s="63">
        <v>0</v>
      </c>
      <c r="L383" s="63">
        <v>0</v>
      </c>
      <c r="M383" s="63">
        <v>0</v>
      </c>
      <c r="N383" s="59">
        <v>0</v>
      </c>
      <c r="O383" s="269">
        <v>0</v>
      </c>
    </row>
    <row r="384" spans="1:15" s="230" customFormat="1" ht="112.5">
      <c r="A384" s="487"/>
      <c r="B384" s="510"/>
      <c r="C384" s="60" t="s">
        <v>178</v>
      </c>
      <c r="D384" s="48"/>
      <c r="E384" s="48"/>
      <c r="F384" s="49">
        <f t="shared" si="82"/>
        <v>0</v>
      </c>
      <c r="G384" s="63">
        <v>0</v>
      </c>
      <c r="H384" s="63">
        <v>0</v>
      </c>
      <c r="I384" s="63">
        <v>0</v>
      </c>
      <c r="J384" s="63">
        <v>0</v>
      </c>
      <c r="K384" s="63">
        <v>0</v>
      </c>
      <c r="L384" s="63">
        <v>0</v>
      </c>
      <c r="M384" s="63">
        <v>0</v>
      </c>
      <c r="N384" s="59">
        <v>0</v>
      </c>
      <c r="O384" s="269">
        <v>0</v>
      </c>
    </row>
    <row r="385" spans="1:15" s="230" customFormat="1" ht="37.5">
      <c r="A385" s="487" t="s">
        <v>94</v>
      </c>
      <c r="B385" s="510" t="s">
        <v>595</v>
      </c>
      <c r="C385" s="60" t="s">
        <v>116</v>
      </c>
      <c r="D385" s="42"/>
      <c r="E385" s="48"/>
      <c r="F385" s="49">
        <f t="shared" si="82"/>
        <v>1973642.5940499997</v>
      </c>
      <c r="G385" s="63">
        <f aca="true" t="shared" si="103" ref="G385:O385">G387+G391+G386</f>
        <v>188356.99000000002</v>
      </c>
      <c r="H385" s="63">
        <f t="shared" si="103"/>
        <v>210877.59913</v>
      </c>
      <c r="I385" s="63">
        <f t="shared" si="103"/>
        <v>234184.44578</v>
      </c>
      <c r="J385" s="63">
        <f t="shared" si="103"/>
        <v>256046.03395999997</v>
      </c>
      <c r="K385" s="63">
        <f t="shared" si="103"/>
        <v>269787.93932999996</v>
      </c>
      <c r="L385" s="63">
        <f t="shared" si="103"/>
        <v>284315.67967</v>
      </c>
      <c r="M385" s="63">
        <f t="shared" si="103"/>
        <v>287721.75146</v>
      </c>
      <c r="N385" s="63">
        <f t="shared" si="103"/>
        <v>122796.83968</v>
      </c>
      <c r="O385" s="272">
        <f t="shared" si="103"/>
        <v>119555.31504</v>
      </c>
    </row>
    <row r="386" spans="1:15" s="230" customFormat="1" ht="56.25">
      <c r="A386" s="487"/>
      <c r="B386" s="510"/>
      <c r="C386" s="60" t="s">
        <v>117</v>
      </c>
      <c r="D386" s="42"/>
      <c r="E386" s="48"/>
      <c r="F386" s="49">
        <f t="shared" si="82"/>
        <v>0</v>
      </c>
      <c r="G386" s="63">
        <v>0</v>
      </c>
      <c r="H386" s="63">
        <v>0</v>
      </c>
      <c r="I386" s="63">
        <v>0</v>
      </c>
      <c r="J386" s="63">
        <v>0</v>
      </c>
      <c r="K386" s="63">
        <v>0</v>
      </c>
      <c r="L386" s="63">
        <v>0</v>
      </c>
      <c r="M386" s="63">
        <v>0</v>
      </c>
      <c r="N386" s="59">
        <v>0</v>
      </c>
      <c r="O386" s="269">
        <v>0</v>
      </c>
    </row>
    <row r="387" spans="1:15" s="230" customFormat="1" ht="75">
      <c r="A387" s="487"/>
      <c r="B387" s="510"/>
      <c r="C387" s="60" t="s">
        <v>122</v>
      </c>
      <c r="D387" s="42"/>
      <c r="E387" s="48"/>
      <c r="F387" s="49">
        <f t="shared" si="82"/>
        <v>1720639.69173</v>
      </c>
      <c r="G387" s="49">
        <f>G388+G389</f>
        <v>169298.17</v>
      </c>
      <c r="H387" s="49">
        <f>H388+H389</f>
        <v>190853.69913</v>
      </c>
      <c r="I387" s="49">
        <f>I388+I389</f>
        <v>214160.54578000001</v>
      </c>
      <c r="J387" s="49">
        <f>J388+J389</f>
        <v>212846.95096</v>
      </c>
      <c r="K387" s="49">
        <f>K388+K389</f>
        <v>239704.46933</v>
      </c>
      <c r="L387" s="49">
        <f>L388+L389+L390</f>
        <v>254232.20967</v>
      </c>
      <c r="M387" s="49">
        <f>M388+M389+M390</f>
        <v>257638.28146</v>
      </c>
      <c r="N387" s="49">
        <f>N388+N389+N390</f>
        <v>92573.44502</v>
      </c>
      <c r="O387" s="49">
        <f>O388+O389+O390</f>
        <v>89331.92038</v>
      </c>
    </row>
    <row r="388" spans="1:15" s="230" customFormat="1" ht="37.5">
      <c r="A388" s="487"/>
      <c r="B388" s="510"/>
      <c r="C388" s="60" t="s">
        <v>118</v>
      </c>
      <c r="D388" s="42">
        <v>813</v>
      </c>
      <c r="E388" s="48" t="s">
        <v>213</v>
      </c>
      <c r="F388" s="49">
        <f t="shared" si="82"/>
        <v>1284654.2396099998</v>
      </c>
      <c r="G388" s="63">
        <f>'приложение 8'!D1107</f>
        <v>65572.89</v>
      </c>
      <c r="H388" s="63">
        <f>'приложение 8'!E1107</f>
        <v>71935.36609</v>
      </c>
      <c r="I388" s="63">
        <f>'приложение 8'!F1107</f>
        <v>89332.105</v>
      </c>
      <c r="J388" s="63">
        <f>'приложение 8'!G1107</f>
        <v>185290.25696</v>
      </c>
      <c r="K388" s="63">
        <f>217783.92403+1239.291</f>
        <v>219023.21503</v>
      </c>
      <c r="L388" s="63">
        <f>232673.91967+2296.84</f>
        <v>234970.75967</v>
      </c>
      <c r="M388" s="297">
        <f>234719.16146+1905.12</f>
        <v>236624.28146</v>
      </c>
      <c r="N388" s="59">
        <f>90668.32502+1905.12</f>
        <v>92573.44502</v>
      </c>
      <c r="O388" s="269">
        <f>87426.80038+1905.12</f>
        <v>89331.92038</v>
      </c>
    </row>
    <row r="389" spans="1:15" s="230" customFormat="1" ht="37.5">
      <c r="A389" s="487"/>
      <c r="B389" s="510"/>
      <c r="C389" s="60" t="s">
        <v>118</v>
      </c>
      <c r="D389" s="48" t="s">
        <v>109</v>
      </c>
      <c r="E389" s="48" t="s">
        <v>213</v>
      </c>
      <c r="F389" s="49">
        <f t="shared" si="82"/>
        <v>435935.4521200001</v>
      </c>
      <c r="G389" s="63">
        <f>'приложение 8'!D1108</f>
        <v>103725.28000000001</v>
      </c>
      <c r="H389" s="63">
        <f>'приложение 8'!E1108</f>
        <v>118918.33304</v>
      </c>
      <c r="I389" s="63">
        <f>'приложение 8'!F1108</f>
        <v>124828.44078000002</v>
      </c>
      <c r="J389" s="63">
        <f>'приложение 8'!G1108</f>
        <v>27556.694</v>
      </c>
      <c r="K389" s="63">
        <f>20681.2543</f>
        <v>20681.2543</v>
      </c>
      <c r="L389" s="63">
        <f>19211.45</f>
        <v>19211.45</v>
      </c>
      <c r="M389" s="87">
        <f>21014</f>
        <v>21014</v>
      </c>
      <c r="N389" s="59">
        <v>0</v>
      </c>
      <c r="O389" s="269">
        <v>0</v>
      </c>
    </row>
    <row r="390" spans="1:15" s="230" customFormat="1" ht="37.5">
      <c r="A390" s="487"/>
      <c r="B390" s="510"/>
      <c r="C390" s="60" t="s">
        <v>118</v>
      </c>
      <c r="D390" s="48" t="s">
        <v>612</v>
      </c>
      <c r="E390" s="48"/>
      <c r="F390" s="49">
        <f t="shared" si="82"/>
        <v>50</v>
      </c>
      <c r="G390" s="63">
        <v>0</v>
      </c>
      <c r="H390" s="63">
        <v>0</v>
      </c>
      <c r="I390" s="63">
        <v>0</v>
      </c>
      <c r="J390" s="63">
        <v>0</v>
      </c>
      <c r="K390" s="63">
        <v>0</v>
      </c>
      <c r="L390" s="63">
        <v>50</v>
      </c>
      <c r="M390" s="63">
        <v>0</v>
      </c>
      <c r="N390" s="59">
        <v>0</v>
      </c>
      <c r="O390" s="269">
        <v>0</v>
      </c>
    </row>
    <row r="391" spans="1:15" s="230" customFormat="1" ht="56.25">
      <c r="A391" s="487"/>
      <c r="B391" s="510"/>
      <c r="C391" s="60" t="s">
        <v>119</v>
      </c>
      <c r="D391" s="48"/>
      <c r="E391" s="48"/>
      <c r="F391" s="49">
        <f aca="true" t="shared" si="104" ref="F391:F447">G391+H391+I391+J391+K391+L391+M391+O391+N391</f>
        <v>253002.90232</v>
      </c>
      <c r="G391" s="63">
        <f>'приложение 8'!D1109</f>
        <v>19058.82</v>
      </c>
      <c r="H391" s="63">
        <f>'приложение 8'!E1109</f>
        <v>20023.9</v>
      </c>
      <c r="I391" s="63">
        <f>'приложение 8'!F1109</f>
        <v>20023.9</v>
      </c>
      <c r="J391" s="63">
        <f>'приложение 8'!G1109</f>
        <v>43199.083</v>
      </c>
      <c r="K391" s="63">
        <v>30083.47</v>
      </c>
      <c r="L391" s="63">
        <v>30083.47</v>
      </c>
      <c r="M391" s="63">
        <v>30083.47</v>
      </c>
      <c r="N391" s="59">
        <v>30223.39466</v>
      </c>
      <c r="O391" s="269">
        <v>30223.39466</v>
      </c>
    </row>
    <row r="392" spans="1:15" s="230" customFormat="1" ht="56.25">
      <c r="A392" s="487"/>
      <c r="B392" s="510"/>
      <c r="C392" s="60" t="s">
        <v>120</v>
      </c>
      <c r="D392" s="48"/>
      <c r="E392" s="48"/>
      <c r="F392" s="49">
        <f t="shared" si="104"/>
        <v>0</v>
      </c>
      <c r="G392" s="63">
        <f>'приложение 8'!D1110</f>
        <v>0</v>
      </c>
      <c r="H392" s="63">
        <f>'приложение 8'!E1110</f>
        <v>0</v>
      </c>
      <c r="I392" s="63">
        <f>'приложение 8'!F1110</f>
        <v>0</v>
      </c>
      <c r="J392" s="63">
        <f>'приложение 8'!G1110</f>
        <v>0</v>
      </c>
      <c r="K392" s="63">
        <v>0</v>
      </c>
      <c r="L392" s="63">
        <v>0</v>
      </c>
      <c r="M392" s="63">
        <v>0</v>
      </c>
      <c r="N392" s="59">
        <v>0</v>
      </c>
      <c r="O392" s="269">
        <v>0</v>
      </c>
    </row>
    <row r="393" spans="1:15" s="230" customFormat="1" ht="56.25">
      <c r="A393" s="487"/>
      <c r="B393" s="510"/>
      <c r="C393" s="60" t="s">
        <v>192</v>
      </c>
      <c r="D393" s="48"/>
      <c r="E393" s="48"/>
      <c r="F393" s="49">
        <f t="shared" si="104"/>
        <v>0</v>
      </c>
      <c r="G393" s="63">
        <v>0</v>
      </c>
      <c r="H393" s="63">
        <v>0</v>
      </c>
      <c r="I393" s="63">
        <v>0</v>
      </c>
      <c r="J393" s="63">
        <v>0</v>
      </c>
      <c r="K393" s="63">
        <v>0</v>
      </c>
      <c r="L393" s="63">
        <v>0</v>
      </c>
      <c r="M393" s="63">
        <v>0</v>
      </c>
      <c r="N393" s="59">
        <v>0</v>
      </c>
      <c r="O393" s="269">
        <v>0</v>
      </c>
    </row>
    <row r="394" spans="1:15" s="230" customFormat="1" ht="112.5">
      <c r="A394" s="487"/>
      <c r="B394" s="510"/>
      <c r="C394" s="60" t="s">
        <v>178</v>
      </c>
      <c r="D394" s="48"/>
      <c r="E394" s="48"/>
      <c r="F394" s="49">
        <f t="shared" si="104"/>
        <v>0</v>
      </c>
      <c r="G394" s="63">
        <v>0</v>
      </c>
      <c r="H394" s="63">
        <v>0</v>
      </c>
      <c r="I394" s="63">
        <v>0</v>
      </c>
      <c r="J394" s="63">
        <v>0</v>
      </c>
      <c r="K394" s="63">
        <v>0</v>
      </c>
      <c r="L394" s="63">
        <v>0</v>
      </c>
      <c r="M394" s="63">
        <v>0</v>
      </c>
      <c r="N394" s="59">
        <v>0</v>
      </c>
      <c r="O394" s="269">
        <v>0</v>
      </c>
    </row>
    <row r="395" spans="1:15" s="230" customFormat="1" ht="37.5">
      <c r="A395" s="487" t="s">
        <v>143</v>
      </c>
      <c r="B395" s="510" t="s">
        <v>596</v>
      </c>
      <c r="C395" s="60" t="s">
        <v>116</v>
      </c>
      <c r="D395" s="42"/>
      <c r="E395" s="48"/>
      <c r="F395" s="49">
        <f t="shared" si="104"/>
        <v>687798.3377400001</v>
      </c>
      <c r="G395" s="63">
        <f aca="true" t="shared" si="105" ref="G395:O395">G396+G397+G401+G402+G403+G404</f>
        <v>85894.93</v>
      </c>
      <c r="H395" s="63">
        <f t="shared" si="105"/>
        <v>88013.28086</v>
      </c>
      <c r="I395" s="63">
        <f t="shared" si="105"/>
        <v>92551.52358000002</v>
      </c>
      <c r="J395" s="63">
        <f t="shared" si="105"/>
        <v>84707.33162</v>
      </c>
      <c r="K395" s="63">
        <f t="shared" si="105"/>
        <v>91603.17842</v>
      </c>
      <c r="L395" s="63">
        <f t="shared" si="105"/>
        <v>91765.99449000001</v>
      </c>
      <c r="M395" s="63">
        <f t="shared" si="105"/>
        <v>109707.68999</v>
      </c>
      <c r="N395" s="63">
        <f>N396+N397+N401+N402+N403+N404</f>
        <v>22567.19619</v>
      </c>
      <c r="O395" s="272">
        <f t="shared" si="105"/>
        <v>20987.21259</v>
      </c>
    </row>
    <row r="396" spans="1:15" s="230" customFormat="1" ht="56.25">
      <c r="A396" s="487"/>
      <c r="B396" s="510"/>
      <c r="C396" s="60" t="s">
        <v>117</v>
      </c>
      <c r="D396" s="42"/>
      <c r="E396" s="48"/>
      <c r="F396" s="49">
        <f t="shared" si="104"/>
        <v>62431.2</v>
      </c>
      <c r="G396" s="63">
        <f>'приложение 8'!D1203</f>
        <v>52471.1</v>
      </c>
      <c r="H396" s="63">
        <f>'приложение 8'!E1203</f>
        <v>0</v>
      </c>
      <c r="I396" s="63">
        <f>'приложение 8'!F1203</f>
        <v>9960.1</v>
      </c>
      <c r="J396" s="63">
        <f>'приложение 8'!G1203</f>
        <v>0</v>
      </c>
      <c r="K396" s="63">
        <v>0</v>
      </c>
      <c r="L396" s="63">
        <v>0</v>
      </c>
      <c r="M396" s="63">
        <v>0</v>
      </c>
      <c r="N396" s="59">
        <v>0</v>
      </c>
      <c r="O396" s="269">
        <v>0</v>
      </c>
    </row>
    <row r="397" spans="1:15" s="230" customFormat="1" ht="75">
      <c r="A397" s="487"/>
      <c r="B397" s="510"/>
      <c r="C397" s="60" t="s">
        <v>122</v>
      </c>
      <c r="D397" s="42"/>
      <c r="E397" s="48"/>
      <c r="F397" s="49">
        <f t="shared" si="104"/>
        <v>625367.1377400002</v>
      </c>
      <c r="G397" s="49">
        <f aca="true" t="shared" si="106" ref="G397:O397">G398+G399+G400</f>
        <v>33423.83</v>
      </c>
      <c r="H397" s="49">
        <f t="shared" si="106"/>
        <v>88013.28086</v>
      </c>
      <c r="I397" s="49">
        <f t="shared" si="106"/>
        <v>82591.42358000002</v>
      </c>
      <c r="J397" s="49">
        <f t="shared" si="106"/>
        <v>84707.33162</v>
      </c>
      <c r="K397" s="49">
        <f t="shared" si="106"/>
        <v>91603.17842</v>
      </c>
      <c r="L397" s="49">
        <f t="shared" si="106"/>
        <v>91765.99449000001</v>
      </c>
      <c r="M397" s="49">
        <f t="shared" si="106"/>
        <v>109707.68999</v>
      </c>
      <c r="N397" s="49">
        <f>N398+N399+N400</f>
        <v>22567.19619</v>
      </c>
      <c r="O397" s="267">
        <f t="shared" si="106"/>
        <v>20987.21259</v>
      </c>
    </row>
    <row r="398" spans="1:15" s="230" customFormat="1" ht="37.5">
      <c r="A398" s="487"/>
      <c r="B398" s="510"/>
      <c r="C398" s="60" t="s">
        <v>118</v>
      </c>
      <c r="D398" s="48" t="s">
        <v>141</v>
      </c>
      <c r="E398" s="48" t="s">
        <v>213</v>
      </c>
      <c r="F398" s="49">
        <f t="shared" si="104"/>
        <v>437958.13625</v>
      </c>
      <c r="G398" s="63">
        <f>'приложение 8'!D1205</f>
        <v>1453</v>
      </c>
      <c r="H398" s="63">
        <f>'приложение 8'!E1205</f>
        <v>57423.274</v>
      </c>
      <c r="I398" s="63">
        <f>'приложение 8'!F1205</f>
        <v>60703.200000000004</v>
      </c>
      <c r="J398" s="63">
        <f>'приложение 8'!G1205</f>
        <v>60765.820999999996</v>
      </c>
      <c r="K398" s="63">
        <f>73110.63109</f>
        <v>73110.63109</v>
      </c>
      <c r="L398" s="63">
        <f>74800.76016</f>
        <v>74800.76016</v>
      </c>
      <c r="M398" s="298">
        <f>75250.95</f>
        <v>75250.95</v>
      </c>
      <c r="N398" s="283">
        <f>17850</f>
        <v>17850</v>
      </c>
      <c r="O398" s="284">
        <f>16600.5</f>
        <v>16600.5</v>
      </c>
    </row>
    <row r="399" spans="1:15" s="230" customFormat="1" ht="37.5">
      <c r="A399" s="487"/>
      <c r="B399" s="510"/>
      <c r="C399" s="60" t="s">
        <v>118</v>
      </c>
      <c r="D399" s="48" t="s">
        <v>142</v>
      </c>
      <c r="E399" s="48" t="s">
        <v>213</v>
      </c>
      <c r="F399" s="49">
        <f t="shared" si="104"/>
        <v>145219.78369</v>
      </c>
      <c r="G399" s="63">
        <f>'приложение 8'!D1206</f>
        <v>15170.23</v>
      </c>
      <c r="H399" s="63">
        <f>'приложение 8'!E1206</f>
        <v>13965.412639999999</v>
      </c>
      <c r="I399" s="63">
        <f>'приложение 8'!F1206</f>
        <v>14770</v>
      </c>
      <c r="J399" s="63">
        <f>'приложение 8'!G1206</f>
        <v>22295.710619999998</v>
      </c>
      <c r="K399" s="63">
        <f>18492.54733</f>
        <v>18492.54733</v>
      </c>
      <c r="L399" s="63">
        <f>16965.23433</f>
        <v>16965.23433</v>
      </c>
      <c r="M399" s="298">
        <f>34456.73999</f>
        <v>34456.73999</v>
      </c>
      <c r="N399" s="283">
        <f>4717.19619</f>
        <v>4717.19619</v>
      </c>
      <c r="O399" s="284">
        <f>4386.71259</f>
        <v>4386.71259</v>
      </c>
    </row>
    <row r="400" spans="1:15" s="230" customFormat="1" ht="37.5">
      <c r="A400" s="487"/>
      <c r="B400" s="510"/>
      <c r="C400" s="60" t="s">
        <v>118</v>
      </c>
      <c r="D400" s="48" t="s">
        <v>109</v>
      </c>
      <c r="E400" s="48" t="s">
        <v>213</v>
      </c>
      <c r="F400" s="49">
        <f t="shared" si="104"/>
        <v>42189.2178</v>
      </c>
      <c r="G400" s="63">
        <f>'приложение 8'!D1207</f>
        <v>16800.6</v>
      </c>
      <c r="H400" s="63">
        <f>'приложение 8'!E1207</f>
        <v>16624.59422</v>
      </c>
      <c r="I400" s="63">
        <f>'приложение 8'!F1207</f>
        <v>7118.22358</v>
      </c>
      <c r="J400" s="63">
        <f>'приложение 8'!G1207</f>
        <v>1645.800000000001</v>
      </c>
      <c r="K400" s="63">
        <v>0</v>
      </c>
      <c r="L400" s="63">
        <v>0</v>
      </c>
      <c r="M400" s="63">
        <v>0</v>
      </c>
      <c r="N400" s="59">
        <v>0</v>
      </c>
      <c r="O400" s="269">
        <v>0</v>
      </c>
    </row>
    <row r="401" spans="1:15" s="230" customFormat="1" ht="56.25">
      <c r="A401" s="487"/>
      <c r="B401" s="510"/>
      <c r="C401" s="60" t="s">
        <v>119</v>
      </c>
      <c r="D401" s="48"/>
      <c r="E401" s="48"/>
      <c r="F401" s="49">
        <f t="shared" si="104"/>
        <v>0</v>
      </c>
      <c r="G401" s="63">
        <f>'приложение 8'!D1208</f>
        <v>0</v>
      </c>
      <c r="H401" s="63">
        <f>'приложение 8'!E1208</f>
        <v>0</v>
      </c>
      <c r="I401" s="63">
        <f>'приложение 8'!F1208</f>
        <v>0</v>
      </c>
      <c r="J401" s="63">
        <f>'приложение 8'!G1208</f>
        <v>0</v>
      </c>
      <c r="K401" s="63">
        <v>0</v>
      </c>
      <c r="L401" s="63">
        <v>0</v>
      </c>
      <c r="M401" s="63">
        <v>0</v>
      </c>
      <c r="N401" s="59">
        <v>0</v>
      </c>
      <c r="O401" s="269">
        <v>0</v>
      </c>
    </row>
    <row r="402" spans="1:15" s="230" customFormat="1" ht="56.25">
      <c r="A402" s="487"/>
      <c r="B402" s="510"/>
      <c r="C402" s="60" t="s">
        <v>120</v>
      </c>
      <c r="D402" s="48"/>
      <c r="E402" s="48"/>
      <c r="F402" s="49">
        <f t="shared" si="104"/>
        <v>0</v>
      </c>
      <c r="G402" s="63">
        <f>'приложение 8'!D1209</f>
        <v>0</v>
      </c>
      <c r="H402" s="63">
        <f>'приложение 8'!E1209</f>
        <v>0</v>
      </c>
      <c r="I402" s="63">
        <f>'приложение 8'!F1209</f>
        <v>0</v>
      </c>
      <c r="J402" s="63">
        <f>'приложение 8'!G1209</f>
        <v>0</v>
      </c>
      <c r="K402" s="63">
        <v>0</v>
      </c>
      <c r="L402" s="63">
        <v>0</v>
      </c>
      <c r="M402" s="63">
        <v>0</v>
      </c>
      <c r="N402" s="59">
        <v>0</v>
      </c>
      <c r="O402" s="269">
        <v>0</v>
      </c>
    </row>
    <row r="403" spans="1:15" s="230" customFormat="1" ht="56.25">
      <c r="A403" s="487"/>
      <c r="B403" s="510"/>
      <c r="C403" s="60" t="s">
        <v>192</v>
      </c>
      <c r="D403" s="48"/>
      <c r="E403" s="48"/>
      <c r="F403" s="49">
        <f t="shared" si="104"/>
        <v>0</v>
      </c>
      <c r="G403" s="63">
        <v>0</v>
      </c>
      <c r="H403" s="63">
        <v>0</v>
      </c>
      <c r="I403" s="63">
        <v>0</v>
      </c>
      <c r="J403" s="63">
        <v>0</v>
      </c>
      <c r="K403" s="63">
        <v>0</v>
      </c>
      <c r="L403" s="63">
        <v>0</v>
      </c>
      <c r="M403" s="63">
        <v>0</v>
      </c>
      <c r="N403" s="59">
        <v>0</v>
      </c>
      <c r="O403" s="269">
        <v>0</v>
      </c>
    </row>
    <row r="404" spans="1:15" s="230" customFormat="1" ht="112.5">
      <c r="A404" s="487"/>
      <c r="B404" s="510"/>
      <c r="C404" s="60" t="s">
        <v>178</v>
      </c>
      <c r="D404" s="48"/>
      <c r="E404" s="48"/>
      <c r="F404" s="49">
        <f t="shared" si="104"/>
        <v>0</v>
      </c>
      <c r="G404" s="63">
        <v>0</v>
      </c>
      <c r="H404" s="63">
        <v>0</v>
      </c>
      <c r="I404" s="63">
        <v>0</v>
      </c>
      <c r="J404" s="63">
        <v>0</v>
      </c>
      <c r="K404" s="63">
        <v>0</v>
      </c>
      <c r="L404" s="63">
        <v>0</v>
      </c>
      <c r="M404" s="63">
        <v>0</v>
      </c>
      <c r="N404" s="59">
        <v>0</v>
      </c>
      <c r="O404" s="269">
        <v>0</v>
      </c>
    </row>
    <row r="405" spans="1:15" s="230" customFormat="1" ht="37.5">
      <c r="A405" s="487" t="s">
        <v>144</v>
      </c>
      <c r="B405" s="510" t="s">
        <v>347</v>
      </c>
      <c r="C405" s="60" t="s">
        <v>116</v>
      </c>
      <c r="D405" s="42"/>
      <c r="E405" s="48"/>
      <c r="F405" s="49">
        <f t="shared" si="104"/>
        <v>509.57715</v>
      </c>
      <c r="G405" s="63">
        <f aca="true" t="shared" si="107" ref="G405:O405">SUM(G406:G411)</f>
        <v>214</v>
      </c>
      <c r="H405" s="63">
        <f t="shared" si="107"/>
        <v>295.57715</v>
      </c>
      <c r="I405" s="63">
        <f t="shared" si="107"/>
        <v>0</v>
      </c>
      <c r="J405" s="63">
        <f t="shared" si="107"/>
        <v>0</v>
      </c>
      <c r="K405" s="63">
        <f t="shared" si="107"/>
        <v>0</v>
      </c>
      <c r="L405" s="63">
        <f t="shared" si="107"/>
        <v>0</v>
      </c>
      <c r="M405" s="63">
        <f t="shared" si="107"/>
        <v>0</v>
      </c>
      <c r="N405" s="63">
        <f>SUM(N406:N411)</f>
        <v>0</v>
      </c>
      <c r="O405" s="272">
        <f t="shared" si="107"/>
        <v>0</v>
      </c>
    </row>
    <row r="406" spans="1:15" s="230" customFormat="1" ht="56.25">
      <c r="A406" s="487"/>
      <c r="B406" s="510"/>
      <c r="C406" s="60" t="s">
        <v>117</v>
      </c>
      <c r="D406" s="42"/>
      <c r="E406" s="48"/>
      <c r="F406" s="49">
        <f t="shared" si="104"/>
        <v>0</v>
      </c>
      <c r="G406" s="63">
        <f>'приложение 8'!D1257</f>
        <v>0</v>
      </c>
      <c r="H406" s="63">
        <f>'приложение 8'!E1257</f>
        <v>0</v>
      </c>
      <c r="I406" s="63">
        <f>'приложение 8'!F1257</f>
        <v>0</v>
      </c>
      <c r="J406" s="63">
        <f>'приложение 8'!G1257</f>
        <v>0</v>
      </c>
      <c r="K406" s="63">
        <v>0</v>
      </c>
      <c r="L406" s="63">
        <v>0</v>
      </c>
      <c r="M406" s="63">
        <v>0</v>
      </c>
      <c r="N406" s="59">
        <v>0</v>
      </c>
      <c r="O406" s="269">
        <v>0</v>
      </c>
    </row>
    <row r="407" spans="1:15" s="230" customFormat="1" ht="37.5">
      <c r="A407" s="487"/>
      <c r="B407" s="510"/>
      <c r="C407" s="60" t="s">
        <v>118</v>
      </c>
      <c r="D407" s="48" t="s">
        <v>109</v>
      </c>
      <c r="E407" s="48" t="s">
        <v>213</v>
      </c>
      <c r="F407" s="49">
        <f t="shared" si="104"/>
        <v>509.57715</v>
      </c>
      <c r="G407" s="63">
        <f>'приложение 8'!D1258</f>
        <v>214</v>
      </c>
      <c r="H407" s="63">
        <f>'приложение 8'!E1258</f>
        <v>295.57715</v>
      </c>
      <c r="I407" s="63">
        <f>'приложение 8'!F1258</f>
        <v>0</v>
      </c>
      <c r="J407" s="63">
        <f>'приложение 8'!G1258</f>
        <v>0</v>
      </c>
      <c r="K407" s="63">
        <v>0</v>
      </c>
      <c r="L407" s="63">
        <v>0</v>
      </c>
      <c r="M407" s="63">
        <v>0</v>
      </c>
      <c r="N407" s="59">
        <v>0</v>
      </c>
      <c r="O407" s="269">
        <v>0</v>
      </c>
    </row>
    <row r="408" spans="1:15" s="230" customFormat="1" ht="56.25">
      <c r="A408" s="487"/>
      <c r="B408" s="510"/>
      <c r="C408" s="60" t="s">
        <v>119</v>
      </c>
      <c r="D408" s="48"/>
      <c r="E408" s="48"/>
      <c r="F408" s="49">
        <f t="shared" si="104"/>
        <v>0</v>
      </c>
      <c r="G408" s="63">
        <f>'приложение 8'!D1259</f>
        <v>0</v>
      </c>
      <c r="H408" s="63">
        <f>'приложение 8'!E1259</f>
        <v>0</v>
      </c>
      <c r="I408" s="63">
        <f>'приложение 8'!F1259</f>
        <v>0</v>
      </c>
      <c r="J408" s="63">
        <f>'приложение 8'!G1259</f>
        <v>0</v>
      </c>
      <c r="K408" s="63">
        <v>0</v>
      </c>
      <c r="L408" s="63">
        <v>0</v>
      </c>
      <c r="M408" s="63">
        <v>0</v>
      </c>
      <c r="N408" s="59">
        <v>0</v>
      </c>
      <c r="O408" s="269">
        <v>0</v>
      </c>
    </row>
    <row r="409" spans="1:15" s="230" customFormat="1" ht="56.25">
      <c r="A409" s="487"/>
      <c r="B409" s="510"/>
      <c r="C409" s="60" t="s">
        <v>120</v>
      </c>
      <c r="D409" s="48"/>
      <c r="E409" s="48"/>
      <c r="F409" s="49">
        <f t="shared" si="104"/>
        <v>0</v>
      </c>
      <c r="G409" s="63">
        <f>'приложение 8'!D1260</f>
        <v>0</v>
      </c>
      <c r="H409" s="63">
        <f>'приложение 8'!E1260</f>
        <v>0</v>
      </c>
      <c r="I409" s="63">
        <f>'приложение 8'!F1260</f>
        <v>0</v>
      </c>
      <c r="J409" s="63">
        <f>'приложение 8'!G1260</f>
        <v>0</v>
      </c>
      <c r="K409" s="63">
        <v>0</v>
      </c>
      <c r="L409" s="63">
        <v>0</v>
      </c>
      <c r="M409" s="63">
        <v>0</v>
      </c>
      <c r="N409" s="59">
        <v>0</v>
      </c>
      <c r="O409" s="269">
        <v>0</v>
      </c>
    </row>
    <row r="410" spans="1:15" s="230" customFormat="1" ht="56.25">
      <c r="A410" s="487"/>
      <c r="B410" s="510"/>
      <c r="C410" s="60" t="s">
        <v>192</v>
      </c>
      <c r="D410" s="48"/>
      <c r="E410" s="48"/>
      <c r="F410" s="49">
        <f t="shared" si="104"/>
        <v>0</v>
      </c>
      <c r="G410" s="63">
        <v>0</v>
      </c>
      <c r="H410" s="63">
        <v>0</v>
      </c>
      <c r="I410" s="63">
        <v>0</v>
      </c>
      <c r="J410" s="63">
        <v>0</v>
      </c>
      <c r="K410" s="63">
        <v>0</v>
      </c>
      <c r="L410" s="63">
        <v>0</v>
      </c>
      <c r="M410" s="63">
        <v>0</v>
      </c>
      <c r="N410" s="59">
        <v>0</v>
      </c>
      <c r="O410" s="269">
        <v>0</v>
      </c>
    </row>
    <row r="411" spans="1:15" s="230" customFormat="1" ht="112.5">
      <c r="A411" s="487"/>
      <c r="B411" s="510"/>
      <c r="C411" s="60" t="s">
        <v>178</v>
      </c>
      <c r="D411" s="48"/>
      <c r="E411" s="48"/>
      <c r="F411" s="49">
        <f t="shared" si="104"/>
        <v>0</v>
      </c>
      <c r="G411" s="63">
        <v>0</v>
      </c>
      <c r="H411" s="63">
        <v>0</v>
      </c>
      <c r="I411" s="63">
        <v>0</v>
      </c>
      <c r="J411" s="63">
        <v>0</v>
      </c>
      <c r="K411" s="63">
        <v>0</v>
      </c>
      <c r="L411" s="63">
        <v>0</v>
      </c>
      <c r="M411" s="63">
        <v>0</v>
      </c>
      <c r="N411" s="59">
        <v>0</v>
      </c>
      <c r="O411" s="269">
        <v>0</v>
      </c>
    </row>
    <row r="412" spans="1:15" s="230" customFormat="1" ht="37.5">
      <c r="A412" s="487" t="s">
        <v>146</v>
      </c>
      <c r="B412" s="510" t="s">
        <v>350</v>
      </c>
      <c r="C412" s="60" t="s">
        <v>116</v>
      </c>
      <c r="D412" s="42"/>
      <c r="E412" s="48"/>
      <c r="F412" s="49">
        <f t="shared" si="104"/>
        <v>5368.404820000001</v>
      </c>
      <c r="G412" s="63">
        <f aca="true" t="shared" si="108" ref="G412:O412">SUM(G413:G418)</f>
        <v>815</v>
      </c>
      <c r="H412" s="63">
        <f t="shared" si="108"/>
        <v>920.9</v>
      </c>
      <c r="I412" s="63">
        <f t="shared" si="108"/>
        <v>915.328</v>
      </c>
      <c r="J412" s="63">
        <f t="shared" si="108"/>
        <v>893.379</v>
      </c>
      <c r="K412" s="63">
        <f t="shared" si="108"/>
        <v>864.36891</v>
      </c>
      <c r="L412" s="63">
        <f t="shared" si="108"/>
        <v>775.37891</v>
      </c>
      <c r="M412" s="63">
        <f t="shared" si="108"/>
        <v>184.05</v>
      </c>
      <c r="N412" s="63">
        <f>SUM(N413:N418)</f>
        <v>0</v>
      </c>
      <c r="O412" s="272">
        <f t="shared" si="108"/>
        <v>0</v>
      </c>
    </row>
    <row r="413" spans="1:15" s="230" customFormat="1" ht="56.25">
      <c r="A413" s="487"/>
      <c r="B413" s="510"/>
      <c r="C413" s="60" t="s">
        <v>117</v>
      </c>
      <c r="D413" s="42"/>
      <c r="E413" s="48"/>
      <c r="F413" s="49">
        <f t="shared" si="104"/>
        <v>0</v>
      </c>
      <c r="G413" s="63">
        <f>'приложение 8'!D1271</f>
        <v>0</v>
      </c>
      <c r="H413" s="63">
        <f>'приложение 8'!E1271</f>
        <v>0</v>
      </c>
      <c r="I413" s="63">
        <f>'приложение 8'!F1271</f>
        <v>0</v>
      </c>
      <c r="J413" s="63">
        <f>'приложение 8'!G1271</f>
        <v>0</v>
      </c>
      <c r="K413" s="63">
        <v>0</v>
      </c>
      <c r="L413" s="63">
        <v>0</v>
      </c>
      <c r="M413" s="63">
        <v>0</v>
      </c>
      <c r="N413" s="59">
        <v>0</v>
      </c>
      <c r="O413" s="269">
        <v>0</v>
      </c>
    </row>
    <row r="414" spans="1:15" s="230" customFormat="1" ht="37.5">
      <c r="A414" s="487"/>
      <c r="B414" s="510"/>
      <c r="C414" s="60" t="s">
        <v>118</v>
      </c>
      <c r="D414" s="48" t="s">
        <v>141</v>
      </c>
      <c r="E414" s="48" t="s">
        <v>213</v>
      </c>
      <c r="F414" s="49">
        <f t="shared" si="104"/>
        <v>1918.40482</v>
      </c>
      <c r="G414" s="63">
        <f>'приложение 8'!D1272</f>
        <v>240</v>
      </c>
      <c r="H414" s="63">
        <f>'приложение 8'!E1272</f>
        <v>345.9</v>
      </c>
      <c r="I414" s="63">
        <f>'приложение 8'!F1272</f>
        <v>340.328</v>
      </c>
      <c r="J414" s="63">
        <f>'приложение 8'!G1272</f>
        <v>318.379</v>
      </c>
      <c r="K414" s="63">
        <f>289.36891</f>
        <v>289.36891</v>
      </c>
      <c r="L414" s="63">
        <f>200.37891</f>
        <v>200.37891</v>
      </c>
      <c r="M414" s="297">
        <v>184.05</v>
      </c>
      <c r="N414" s="59">
        <v>0</v>
      </c>
      <c r="O414" s="269">
        <v>0</v>
      </c>
    </row>
    <row r="415" spans="1:15" s="230" customFormat="1" ht="56.25" hidden="1">
      <c r="A415" s="487"/>
      <c r="B415" s="510"/>
      <c r="C415" s="60" t="s">
        <v>119</v>
      </c>
      <c r="D415" s="48"/>
      <c r="E415" s="48"/>
      <c r="F415" s="49">
        <f t="shared" si="104"/>
        <v>0</v>
      </c>
      <c r="G415" s="63">
        <f>'приложение 8'!D1273</f>
        <v>0</v>
      </c>
      <c r="H415" s="63">
        <f>'приложение 8'!E1273</f>
        <v>0</v>
      </c>
      <c r="I415" s="63">
        <f>'приложение 8'!F1273</f>
        <v>0</v>
      </c>
      <c r="J415" s="63">
        <f>'приложение 8'!G1273</f>
        <v>0</v>
      </c>
      <c r="K415" s="63">
        <v>0</v>
      </c>
      <c r="L415" s="63">
        <v>0</v>
      </c>
      <c r="M415" s="63">
        <v>0</v>
      </c>
      <c r="N415" s="59">
        <v>0</v>
      </c>
      <c r="O415" s="269">
        <v>0</v>
      </c>
    </row>
    <row r="416" spans="1:15" s="230" customFormat="1" ht="56.25">
      <c r="A416" s="487"/>
      <c r="B416" s="510"/>
      <c r="C416" s="60" t="s">
        <v>120</v>
      </c>
      <c r="D416" s="48"/>
      <c r="E416" s="48"/>
      <c r="F416" s="49">
        <f t="shared" si="104"/>
        <v>0</v>
      </c>
      <c r="G416" s="63">
        <f>'приложение 8'!D1274</f>
        <v>0</v>
      </c>
      <c r="H416" s="63">
        <f>'приложение 8'!E1274</f>
        <v>0</v>
      </c>
      <c r="I416" s="63">
        <f>'приложение 8'!F1274</f>
        <v>0</v>
      </c>
      <c r="J416" s="63">
        <f>'приложение 8'!G1274</f>
        <v>0</v>
      </c>
      <c r="K416" s="63">
        <v>0</v>
      </c>
      <c r="L416" s="63">
        <v>0</v>
      </c>
      <c r="M416" s="63">
        <v>0</v>
      </c>
      <c r="N416" s="59">
        <v>0</v>
      </c>
      <c r="O416" s="269">
        <v>0</v>
      </c>
    </row>
    <row r="417" spans="1:15" s="230" customFormat="1" ht="56.25">
      <c r="A417" s="487"/>
      <c r="B417" s="510"/>
      <c r="C417" s="60" t="s">
        <v>192</v>
      </c>
      <c r="D417" s="48" t="s">
        <v>109</v>
      </c>
      <c r="E417" s="48" t="s">
        <v>213</v>
      </c>
      <c r="F417" s="49">
        <f t="shared" si="104"/>
        <v>3450</v>
      </c>
      <c r="G417" s="63">
        <f>'приложение 8'!D1275</f>
        <v>575</v>
      </c>
      <c r="H417" s="63">
        <f>'приложение 8'!E1275</f>
        <v>575</v>
      </c>
      <c r="I417" s="63">
        <f>'приложение 8'!F1275</f>
        <v>575</v>
      </c>
      <c r="J417" s="63">
        <f>'приложение 8'!G1275</f>
        <v>575</v>
      </c>
      <c r="K417" s="63">
        <v>575</v>
      </c>
      <c r="L417" s="63">
        <v>575</v>
      </c>
      <c r="M417" s="63">
        <v>0</v>
      </c>
      <c r="N417" s="59">
        <v>0</v>
      </c>
      <c r="O417" s="269">
        <v>0</v>
      </c>
    </row>
    <row r="418" spans="1:15" s="230" customFormat="1" ht="112.5">
      <c r="A418" s="487"/>
      <c r="B418" s="510"/>
      <c r="C418" s="60" t="s">
        <v>178</v>
      </c>
      <c r="D418" s="48"/>
      <c r="E418" s="48"/>
      <c r="F418" s="49">
        <f t="shared" si="104"/>
        <v>0</v>
      </c>
      <c r="G418" s="63">
        <v>0</v>
      </c>
      <c r="H418" s="63">
        <v>0</v>
      </c>
      <c r="I418" s="63">
        <v>0</v>
      </c>
      <c r="J418" s="63">
        <v>0</v>
      </c>
      <c r="K418" s="63">
        <v>0</v>
      </c>
      <c r="L418" s="63">
        <v>0</v>
      </c>
      <c r="M418" s="63">
        <v>0</v>
      </c>
      <c r="N418" s="59">
        <v>0</v>
      </c>
      <c r="O418" s="269">
        <v>0</v>
      </c>
    </row>
    <row r="419" spans="1:15" s="230" customFormat="1" ht="37.5">
      <c r="A419" s="487" t="s">
        <v>99</v>
      </c>
      <c r="B419" s="510" t="s">
        <v>597</v>
      </c>
      <c r="C419" s="60" t="s">
        <v>116</v>
      </c>
      <c r="D419" s="42"/>
      <c r="E419" s="48"/>
      <c r="F419" s="49">
        <f t="shared" si="104"/>
        <v>525811.04637</v>
      </c>
      <c r="G419" s="63">
        <f aca="true" t="shared" si="109" ref="G419:O419">G420+G421+G428+G429+G430+G431</f>
        <v>189451</v>
      </c>
      <c r="H419" s="63">
        <f t="shared" si="109"/>
        <v>114886.75529</v>
      </c>
      <c r="I419" s="63">
        <f t="shared" si="109"/>
        <v>78150.76699</v>
      </c>
      <c r="J419" s="63">
        <f t="shared" si="109"/>
        <v>143322.52409</v>
      </c>
      <c r="K419" s="63">
        <f t="shared" si="109"/>
        <v>0</v>
      </c>
      <c r="L419" s="63">
        <f t="shared" si="109"/>
        <v>0</v>
      </c>
      <c r="M419" s="63">
        <f t="shared" si="109"/>
        <v>0</v>
      </c>
      <c r="N419" s="63">
        <f>N420+N421+N428+N429+N430+N431</f>
        <v>0</v>
      </c>
      <c r="O419" s="272">
        <f t="shared" si="109"/>
        <v>0</v>
      </c>
    </row>
    <row r="420" spans="1:15" s="230" customFormat="1" ht="56.25">
      <c r="A420" s="487"/>
      <c r="B420" s="510"/>
      <c r="C420" s="60" t="s">
        <v>117</v>
      </c>
      <c r="D420" s="42"/>
      <c r="E420" s="48"/>
      <c r="F420" s="49">
        <f t="shared" si="104"/>
        <v>0</v>
      </c>
      <c r="G420" s="63">
        <f>'приложение 8'!D1299</f>
        <v>0</v>
      </c>
      <c r="H420" s="63">
        <f>'приложение 8'!E1299</f>
        <v>0</v>
      </c>
      <c r="I420" s="63">
        <f>'приложение 8'!F1299</f>
        <v>0</v>
      </c>
      <c r="J420" s="63">
        <f>'приложение 8'!G1299</f>
        <v>0</v>
      </c>
      <c r="K420" s="63">
        <v>0</v>
      </c>
      <c r="L420" s="63">
        <v>0</v>
      </c>
      <c r="M420" s="63">
        <v>0</v>
      </c>
      <c r="N420" s="59">
        <v>0</v>
      </c>
      <c r="O420" s="269">
        <v>0</v>
      </c>
    </row>
    <row r="421" spans="1:15" s="230" customFormat="1" ht="75">
      <c r="A421" s="487"/>
      <c r="B421" s="510"/>
      <c r="C421" s="60" t="s">
        <v>122</v>
      </c>
      <c r="D421" s="42"/>
      <c r="E421" s="48"/>
      <c r="F421" s="49">
        <f t="shared" si="104"/>
        <v>525811.04637</v>
      </c>
      <c r="G421" s="49">
        <f aca="true" t="shared" si="110" ref="G421:O421">G422+G423+G424+G425+G426+G427</f>
        <v>189451</v>
      </c>
      <c r="H421" s="49">
        <f t="shared" si="110"/>
        <v>114886.75529</v>
      </c>
      <c r="I421" s="49">
        <f t="shared" si="110"/>
        <v>78150.76699</v>
      </c>
      <c r="J421" s="49">
        <f t="shared" si="110"/>
        <v>143322.52409</v>
      </c>
      <c r="K421" s="49">
        <f t="shared" si="110"/>
        <v>0</v>
      </c>
      <c r="L421" s="49">
        <f t="shared" si="110"/>
        <v>0</v>
      </c>
      <c r="M421" s="49">
        <f t="shared" si="110"/>
        <v>0</v>
      </c>
      <c r="N421" s="49">
        <f>N422+N423+N424+N425+N426+N427</f>
        <v>0</v>
      </c>
      <c r="O421" s="267">
        <f t="shared" si="110"/>
        <v>0</v>
      </c>
    </row>
    <row r="422" spans="1:15" s="230" customFormat="1" ht="37.5">
      <c r="A422" s="487"/>
      <c r="B422" s="510"/>
      <c r="C422" s="60" t="s">
        <v>118</v>
      </c>
      <c r="D422" s="42">
        <v>815</v>
      </c>
      <c r="E422" s="48" t="s">
        <v>213</v>
      </c>
      <c r="F422" s="49">
        <f t="shared" si="104"/>
        <v>0</v>
      </c>
      <c r="G422" s="63">
        <v>0</v>
      </c>
      <c r="H422" s="63">
        <v>0</v>
      </c>
      <c r="I422" s="63">
        <v>0</v>
      </c>
      <c r="J422" s="63">
        <v>0</v>
      </c>
      <c r="K422" s="63">
        <v>0</v>
      </c>
      <c r="L422" s="63">
        <v>0</v>
      </c>
      <c r="M422" s="63">
        <v>0</v>
      </c>
      <c r="N422" s="59">
        <v>0</v>
      </c>
      <c r="O422" s="269">
        <v>0</v>
      </c>
    </row>
    <row r="423" spans="1:15" s="230" customFormat="1" ht="37.5">
      <c r="A423" s="487"/>
      <c r="B423" s="510"/>
      <c r="C423" s="60" t="s">
        <v>118</v>
      </c>
      <c r="D423" s="42">
        <v>847</v>
      </c>
      <c r="E423" s="48" t="s">
        <v>213</v>
      </c>
      <c r="F423" s="49">
        <f t="shared" si="104"/>
        <v>1964.62706</v>
      </c>
      <c r="G423" s="63">
        <f>'приложение 8'!D1304</f>
        <v>1451</v>
      </c>
      <c r="H423" s="63">
        <f>'приложение 8'!E1304</f>
        <v>168.75</v>
      </c>
      <c r="I423" s="63">
        <f>'приложение 8'!F1304</f>
        <v>344.87706</v>
      </c>
      <c r="J423" s="63">
        <f>'приложение 8'!G1304</f>
        <v>0</v>
      </c>
      <c r="K423" s="63">
        <v>0</v>
      </c>
      <c r="L423" s="63">
        <v>0</v>
      </c>
      <c r="M423" s="63">
        <v>0</v>
      </c>
      <c r="N423" s="59">
        <v>0</v>
      </c>
      <c r="O423" s="269">
        <v>0</v>
      </c>
    </row>
    <row r="424" spans="1:15" s="230" customFormat="1" ht="37.5">
      <c r="A424" s="487"/>
      <c r="B424" s="510"/>
      <c r="C424" s="60" t="s">
        <v>118</v>
      </c>
      <c r="D424" s="42">
        <v>847</v>
      </c>
      <c r="E424" s="48" t="s">
        <v>213</v>
      </c>
      <c r="F424" s="49">
        <f t="shared" si="104"/>
        <v>0</v>
      </c>
      <c r="G424" s="239">
        <v>0</v>
      </c>
      <c r="H424" s="239">
        <v>0</v>
      </c>
      <c r="I424" s="239">
        <v>0</v>
      </c>
      <c r="J424" s="239">
        <v>0</v>
      </c>
      <c r="K424" s="239">
        <v>0</v>
      </c>
      <c r="L424" s="239">
        <v>0</v>
      </c>
      <c r="M424" s="239">
        <v>0</v>
      </c>
      <c r="N424" s="59">
        <v>0</v>
      </c>
      <c r="O424" s="269">
        <v>0</v>
      </c>
    </row>
    <row r="425" spans="1:15" s="230" customFormat="1" ht="37.5">
      <c r="A425" s="487"/>
      <c r="B425" s="510"/>
      <c r="C425" s="60" t="s">
        <v>118</v>
      </c>
      <c r="D425" s="42">
        <v>822</v>
      </c>
      <c r="E425" s="48" t="s">
        <v>213</v>
      </c>
      <c r="F425" s="49">
        <f t="shared" si="104"/>
        <v>302718.00529</v>
      </c>
      <c r="G425" s="239">
        <f>'приложение 8'!D1302</f>
        <v>188000</v>
      </c>
      <c r="H425" s="239">
        <f>'приложение 8'!E1302</f>
        <v>114718.00529</v>
      </c>
      <c r="I425" s="239">
        <f>'приложение 8'!F1302</f>
        <v>0</v>
      </c>
      <c r="J425" s="239">
        <f>'приложение 8'!G1302</f>
        <v>0</v>
      </c>
      <c r="K425" s="239">
        <v>0</v>
      </c>
      <c r="L425" s="239">
        <v>0</v>
      </c>
      <c r="M425" s="239">
        <v>0</v>
      </c>
      <c r="N425" s="59">
        <v>0</v>
      </c>
      <c r="O425" s="269">
        <v>0</v>
      </c>
    </row>
    <row r="426" spans="1:15" s="230" customFormat="1" ht="44.25" customHeight="1">
      <c r="A426" s="487"/>
      <c r="B426" s="510"/>
      <c r="C426" s="60" t="s">
        <v>118</v>
      </c>
      <c r="D426" s="42">
        <v>804</v>
      </c>
      <c r="E426" s="48" t="s">
        <v>213</v>
      </c>
      <c r="F426" s="49">
        <f t="shared" si="104"/>
        <v>221128.41402</v>
      </c>
      <c r="G426" s="239">
        <f>'приложение 8'!D1303</f>
        <v>0</v>
      </c>
      <c r="H426" s="239">
        <f>'приложение 8'!E1303</f>
        <v>0</v>
      </c>
      <c r="I426" s="239">
        <f>'приложение 8'!F1303</f>
        <v>77805.88993</v>
      </c>
      <c r="J426" s="239">
        <f>'приложение 8'!G1303</f>
        <v>143322.52409</v>
      </c>
      <c r="K426" s="239">
        <v>0</v>
      </c>
      <c r="L426" s="239">
        <v>0</v>
      </c>
      <c r="M426" s="239">
        <v>0</v>
      </c>
      <c r="N426" s="59">
        <v>0</v>
      </c>
      <c r="O426" s="269">
        <v>0</v>
      </c>
    </row>
    <row r="427" spans="1:15" s="230" customFormat="1" ht="46.5" customHeight="1">
      <c r="A427" s="487"/>
      <c r="B427" s="510"/>
      <c r="C427" s="60" t="s">
        <v>118</v>
      </c>
      <c r="D427" s="48" t="s">
        <v>110</v>
      </c>
      <c r="E427" s="48" t="s">
        <v>213</v>
      </c>
      <c r="F427" s="49">
        <f t="shared" si="104"/>
        <v>0</v>
      </c>
      <c r="G427" s="63">
        <f>'приложение 8'!D1301</f>
        <v>0</v>
      </c>
      <c r="H427" s="63">
        <f>'приложение 8'!E1301</f>
        <v>0</v>
      </c>
      <c r="I427" s="63">
        <f>'приложение 8'!F1301</f>
        <v>0</v>
      </c>
      <c r="J427" s="63">
        <f>'приложение 8'!G1301</f>
        <v>0</v>
      </c>
      <c r="K427" s="63">
        <v>0</v>
      </c>
      <c r="L427" s="63">
        <v>0</v>
      </c>
      <c r="M427" s="63">
        <v>0</v>
      </c>
      <c r="N427" s="59">
        <v>0</v>
      </c>
      <c r="O427" s="269">
        <v>0</v>
      </c>
    </row>
    <row r="428" spans="1:15" s="230" customFormat="1" ht="56.25">
      <c r="A428" s="487"/>
      <c r="B428" s="510"/>
      <c r="C428" s="60" t="s">
        <v>119</v>
      </c>
      <c r="D428" s="48"/>
      <c r="E428" s="48"/>
      <c r="F428" s="49">
        <f t="shared" si="104"/>
        <v>0</v>
      </c>
      <c r="G428" s="63">
        <v>0</v>
      </c>
      <c r="H428" s="63">
        <v>0</v>
      </c>
      <c r="I428" s="63">
        <v>0</v>
      </c>
      <c r="J428" s="63">
        <v>0</v>
      </c>
      <c r="K428" s="63">
        <v>0</v>
      </c>
      <c r="L428" s="63">
        <v>0</v>
      </c>
      <c r="M428" s="63">
        <v>0</v>
      </c>
      <c r="N428" s="59">
        <v>0</v>
      </c>
      <c r="O428" s="269">
        <v>0</v>
      </c>
    </row>
    <row r="429" spans="1:15" s="230" customFormat="1" ht="56.25">
      <c r="A429" s="487"/>
      <c r="B429" s="510"/>
      <c r="C429" s="60" t="s">
        <v>120</v>
      </c>
      <c r="D429" s="48"/>
      <c r="E429" s="48"/>
      <c r="F429" s="49">
        <f t="shared" si="104"/>
        <v>0</v>
      </c>
      <c r="G429" s="63">
        <v>0</v>
      </c>
      <c r="H429" s="63">
        <v>0</v>
      </c>
      <c r="I429" s="63">
        <v>0</v>
      </c>
      <c r="J429" s="63">
        <v>0</v>
      </c>
      <c r="K429" s="63">
        <v>0</v>
      </c>
      <c r="L429" s="63">
        <v>0</v>
      </c>
      <c r="M429" s="63">
        <v>0</v>
      </c>
      <c r="N429" s="59">
        <v>0</v>
      </c>
      <c r="O429" s="269">
        <v>0</v>
      </c>
    </row>
    <row r="430" spans="1:15" s="230" customFormat="1" ht="56.25">
      <c r="A430" s="487"/>
      <c r="B430" s="510"/>
      <c r="C430" s="60" t="s">
        <v>192</v>
      </c>
      <c r="D430" s="48"/>
      <c r="E430" s="48"/>
      <c r="F430" s="49">
        <f t="shared" si="104"/>
        <v>0</v>
      </c>
      <c r="G430" s="63">
        <v>0</v>
      </c>
      <c r="H430" s="63">
        <v>0</v>
      </c>
      <c r="I430" s="63">
        <v>0</v>
      </c>
      <c r="J430" s="63">
        <v>0</v>
      </c>
      <c r="K430" s="63">
        <v>0</v>
      </c>
      <c r="L430" s="63">
        <v>0</v>
      </c>
      <c r="M430" s="63">
        <v>0</v>
      </c>
      <c r="N430" s="59">
        <v>0</v>
      </c>
      <c r="O430" s="269">
        <v>0</v>
      </c>
    </row>
    <row r="431" spans="1:15" s="230" customFormat="1" ht="119.25" customHeight="1">
      <c r="A431" s="487"/>
      <c r="B431" s="510"/>
      <c r="C431" s="60" t="s">
        <v>178</v>
      </c>
      <c r="D431" s="48"/>
      <c r="E431" s="48"/>
      <c r="F431" s="49">
        <f t="shared" si="104"/>
        <v>0</v>
      </c>
      <c r="G431" s="63">
        <v>0</v>
      </c>
      <c r="H431" s="63">
        <v>0</v>
      </c>
      <c r="I431" s="63">
        <v>0</v>
      </c>
      <c r="J431" s="63">
        <v>0</v>
      </c>
      <c r="K431" s="63">
        <v>0</v>
      </c>
      <c r="L431" s="63">
        <v>0</v>
      </c>
      <c r="M431" s="63">
        <v>0</v>
      </c>
      <c r="N431" s="59">
        <v>0</v>
      </c>
      <c r="O431" s="269">
        <v>0</v>
      </c>
    </row>
    <row r="432" spans="1:15" ht="37.5">
      <c r="A432" s="487" t="s">
        <v>103</v>
      </c>
      <c r="B432" s="510" t="s">
        <v>598</v>
      </c>
      <c r="C432" s="60" t="s">
        <v>116</v>
      </c>
      <c r="D432" s="42"/>
      <c r="E432" s="48"/>
      <c r="F432" s="49">
        <f t="shared" si="104"/>
        <v>2924.8330499999997</v>
      </c>
      <c r="G432" s="63">
        <f>G433+G434+G437+G438+G439+G440</f>
        <v>497.8</v>
      </c>
      <c r="H432" s="63">
        <f aca="true" t="shared" si="111" ref="H432:O432">H433+H434+H437+H438+H439+H440</f>
        <v>428</v>
      </c>
      <c r="I432" s="63">
        <f t="shared" si="111"/>
        <v>405.09999999999997</v>
      </c>
      <c r="J432" s="63">
        <f t="shared" si="111"/>
        <v>503.52842</v>
      </c>
      <c r="K432" s="63">
        <f t="shared" si="111"/>
        <v>432.0364</v>
      </c>
      <c r="L432" s="63">
        <f t="shared" si="111"/>
        <v>350</v>
      </c>
      <c r="M432" s="63">
        <f t="shared" si="111"/>
        <v>156.87593</v>
      </c>
      <c r="N432" s="63">
        <f>N433+N434+N437+N438+N439+N440</f>
        <v>78.49583</v>
      </c>
      <c r="O432" s="272">
        <f t="shared" si="111"/>
        <v>72.99647</v>
      </c>
    </row>
    <row r="433" spans="1:15" ht="56.25">
      <c r="A433" s="487"/>
      <c r="B433" s="510"/>
      <c r="C433" s="60" t="s">
        <v>117</v>
      </c>
      <c r="D433" s="42"/>
      <c r="E433" s="48"/>
      <c r="F433" s="49">
        <f t="shared" si="104"/>
        <v>0</v>
      </c>
      <c r="G433" s="63">
        <f>'приложение 8'!D1370</f>
        <v>0</v>
      </c>
      <c r="H433" s="63">
        <f>'приложение 8'!E1370</f>
        <v>0</v>
      </c>
      <c r="I433" s="63">
        <f>'приложение 8'!F1370</f>
        <v>0</v>
      </c>
      <c r="J433" s="63">
        <f>'приложение 8'!G1370</f>
        <v>0</v>
      </c>
      <c r="K433" s="63">
        <v>0</v>
      </c>
      <c r="L433" s="63">
        <v>0</v>
      </c>
      <c r="M433" s="63">
        <v>0</v>
      </c>
      <c r="N433" s="59">
        <v>0</v>
      </c>
      <c r="O433" s="269">
        <v>0</v>
      </c>
    </row>
    <row r="434" spans="1:15" ht="75">
      <c r="A434" s="487"/>
      <c r="B434" s="510"/>
      <c r="C434" s="60" t="s">
        <v>122</v>
      </c>
      <c r="D434" s="42"/>
      <c r="E434" s="48"/>
      <c r="F434" s="49">
        <f t="shared" si="104"/>
        <v>2924.8330499999997</v>
      </c>
      <c r="G434" s="49">
        <f aca="true" t="shared" si="112" ref="G434:O434">G435+G436</f>
        <v>497.8</v>
      </c>
      <c r="H434" s="49">
        <f t="shared" si="112"/>
        <v>428</v>
      </c>
      <c r="I434" s="49">
        <f t="shared" si="112"/>
        <v>405.09999999999997</v>
      </c>
      <c r="J434" s="49">
        <f t="shared" si="112"/>
        <v>503.52842</v>
      </c>
      <c r="K434" s="49">
        <f t="shared" si="112"/>
        <v>432.0364</v>
      </c>
      <c r="L434" s="49">
        <f t="shared" si="112"/>
        <v>350</v>
      </c>
      <c r="M434" s="49">
        <f t="shared" si="112"/>
        <v>156.87593</v>
      </c>
      <c r="N434" s="49">
        <f>N435+N436</f>
        <v>78.49583</v>
      </c>
      <c r="O434" s="267">
        <f t="shared" si="112"/>
        <v>72.99647</v>
      </c>
    </row>
    <row r="435" spans="1:15" ht="37.5">
      <c r="A435" s="487"/>
      <c r="B435" s="510"/>
      <c r="C435" s="60" t="s">
        <v>118</v>
      </c>
      <c r="D435" s="42">
        <v>847</v>
      </c>
      <c r="E435" s="48" t="s">
        <v>213</v>
      </c>
      <c r="F435" s="49">
        <f t="shared" si="104"/>
        <v>1834.4284199999997</v>
      </c>
      <c r="G435" s="63">
        <f>'приложение 8'!D1371</f>
        <v>497.8</v>
      </c>
      <c r="H435" s="63">
        <f>'приложение 8'!E1371</f>
        <v>428</v>
      </c>
      <c r="I435" s="63">
        <f>'приложение 8'!F1371</f>
        <v>405.09999999999997</v>
      </c>
      <c r="J435" s="63">
        <f>'приложение 8'!G1371</f>
        <v>503.52842</v>
      </c>
      <c r="K435" s="63">
        <v>0</v>
      </c>
      <c r="L435" s="63">
        <v>0</v>
      </c>
      <c r="M435" s="63">
        <v>0</v>
      </c>
      <c r="N435" s="59">
        <v>0</v>
      </c>
      <c r="O435" s="269">
        <v>0</v>
      </c>
    </row>
    <row r="436" spans="1:15" ht="37.5">
      <c r="A436" s="487"/>
      <c r="B436" s="510"/>
      <c r="C436" s="60" t="s">
        <v>118</v>
      </c>
      <c r="D436" s="42">
        <v>813</v>
      </c>
      <c r="E436" s="48" t="s">
        <v>213</v>
      </c>
      <c r="F436" s="49">
        <f t="shared" si="104"/>
        <v>1090.40463</v>
      </c>
      <c r="G436" s="63">
        <v>0</v>
      </c>
      <c r="H436" s="63">
        <v>0</v>
      </c>
      <c r="I436" s="63">
        <v>0</v>
      </c>
      <c r="J436" s="63">
        <v>0</v>
      </c>
      <c r="K436" s="63">
        <f>432.0364</f>
        <v>432.0364</v>
      </c>
      <c r="L436" s="63">
        <f>350</f>
        <v>350</v>
      </c>
      <c r="M436" s="87">
        <f>156.87593</f>
        <v>156.87593</v>
      </c>
      <c r="N436" s="59">
        <f>78.49583</f>
        <v>78.49583</v>
      </c>
      <c r="O436" s="269">
        <v>72.99647</v>
      </c>
    </row>
    <row r="437" spans="1:15" ht="56.25">
      <c r="A437" s="487"/>
      <c r="B437" s="510"/>
      <c r="C437" s="60" t="s">
        <v>119</v>
      </c>
      <c r="D437" s="48"/>
      <c r="E437" s="48"/>
      <c r="F437" s="49">
        <f t="shared" si="104"/>
        <v>0</v>
      </c>
      <c r="G437" s="63">
        <f>'приложение 8'!D1372</f>
        <v>0</v>
      </c>
      <c r="H437" s="63">
        <f>'приложение 8'!E1372</f>
        <v>0</v>
      </c>
      <c r="I437" s="63">
        <f>'приложение 8'!F1372</f>
        <v>0</v>
      </c>
      <c r="J437" s="63">
        <f>'приложение 8'!G1372</f>
        <v>0</v>
      </c>
      <c r="K437" s="63">
        <v>0</v>
      </c>
      <c r="L437" s="63">
        <v>0</v>
      </c>
      <c r="M437" s="63">
        <v>0</v>
      </c>
      <c r="N437" s="59">
        <v>0</v>
      </c>
      <c r="O437" s="269">
        <v>0</v>
      </c>
    </row>
    <row r="438" spans="1:15" ht="56.25">
      <c r="A438" s="487"/>
      <c r="B438" s="510"/>
      <c r="C438" s="60" t="s">
        <v>120</v>
      </c>
      <c r="D438" s="48"/>
      <c r="E438" s="48"/>
      <c r="F438" s="49">
        <f t="shared" si="104"/>
        <v>0</v>
      </c>
      <c r="G438" s="63">
        <f>'приложение 8'!D1373</f>
        <v>0</v>
      </c>
      <c r="H438" s="63">
        <f>'приложение 8'!E1373</f>
        <v>0</v>
      </c>
      <c r="I438" s="63">
        <f>'приложение 8'!F1373</f>
        <v>0</v>
      </c>
      <c r="J438" s="63">
        <f>'приложение 8'!G1373</f>
        <v>0</v>
      </c>
      <c r="K438" s="63">
        <v>0</v>
      </c>
      <c r="L438" s="63">
        <v>0</v>
      </c>
      <c r="M438" s="63">
        <v>0</v>
      </c>
      <c r="N438" s="59">
        <v>0</v>
      </c>
      <c r="O438" s="269">
        <v>0</v>
      </c>
    </row>
    <row r="439" spans="1:15" ht="55.5" customHeight="1">
      <c r="A439" s="487"/>
      <c r="B439" s="510"/>
      <c r="C439" s="60" t="s">
        <v>192</v>
      </c>
      <c r="D439" s="48"/>
      <c r="E439" s="48"/>
      <c r="F439" s="49">
        <f t="shared" si="104"/>
        <v>0</v>
      </c>
      <c r="G439" s="63">
        <v>0</v>
      </c>
      <c r="H439" s="63">
        <v>0</v>
      </c>
      <c r="I439" s="63">
        <v>0</v>
      </c>
      <c r="J439" s="63">
        <v>0</v>
      </c>
      <c r="K439" s="63">
        <v>0</v>
      </c>
      <c r="L439" s="63">
        <v>0</v>
      </c>
      <c r="M439" s="63">
        <v>0</v>
      </c>
      <c r="N439" s="59">
        <v>0</v>
      </c>
      <c r="O439" s="269">
        <v>0</v>
      </c>
    </row>
    <row r="440" spans="1:15" ht="123.75" customHeight="1">
      <c r="A440" s="487"/>
      <c r="B440" s="510"/>
      <c r="C440" s="60" t="s">
        <v>178</v>
      </c>
      <c r="D440" s="48"/>
      <c r="E440" s="48"/>
      <c r="F440" s="49">
        <f t="shared" si="104"/>
        <v>0</v>
      </c>
      <c r="G440" s="63">
        <v>0</v>
      </c>
      <c r="H440" s="63">
        <v>0</v>
      </c>
      <c r="I440" s="63">
        <v>0</v>
      </c>
      <c r="J440" s="63">
        <v>0</v>
      </c>
      <c r="K440" s="63">
        <v>0</v>
      </c>
      <c r="L440" s="63">
        <v>0</v>
      </c>
      <c r="M440" s="63">
        <v>0</v>
      </c>
      <c r="N440" s="59">
        <v>0</v>
      </c>
      <c r="O440" s="269">
        <v>0</v>
      </c>
    </row>
    <row r="441" spans="1:15" ht="24.75" customHeight="1">
      <c r="A441" s="487" t="s">
        <v>147</v>
      </c>
      <c r="B441" s="510" t="s">
        <v>370</v>
      </c>
      <c r="C441" s="60" t="s">
        <v>116</v>
      </c>
      <c r="D441" s="42"/>
      <c r="E441" s="48"/>
      <c r="F441" s="49">
        <f t="shared" si="104"/>
        <v>829.6500000000001</v>
      </c>
      <c r="G441" s="63">
        <f aca="true" t="shared" si="113" ref="G441:O441">SUM(G442:G447)</f>
        <v>230</v>
      </c>
      <c r="H441" s="63">
        <f t="shared" si="113"/>
        <v>149.826</v>
      </c>
      <c r="I441" s="63">
        <f t="shared" si="113"/>
        <v>0</v>
      </c>
      <c r="J441" s="63">
        <f t="shared" si="113"/>
        <v>0</v>
      </c>
      <c r="K441" s="63">
        <f t="shared" si="113"/>
        <v>0</v>
      </c>
      <c r="L441" s="63">
        <f t="shared" si="113"/>
        <v>199.824</v>
      </c>
      <c r="M441" s="63">
        <f t="shared" si="113"/>
        <v>250</v>
      </c>
      <c r="N441" s="63">
        <f>SUM(N442:N447)</f>
        <v>0</v>
      </c>
      <c r="O441" s="272">
        <f t="shared" si="113"/>
        <v>0</v>
      </c>
    </row>
    <row r="442" spans="1:15" ht="60" customHeight="1">
      <c r="A442" s="487"/>
      <c r="B442" s="510"/>
      <c r="C442" s="60" t="s">
        <v>117</v>
      </c>
      <c r="D442" s="42"/>
      <c r="E442" s="48"/>
      <c r="F442" s="49">
        <f t="shared" si="104"/>
        <v>0</v>
      </c>
      <c r="G442" s="63">
        <f>'приложение 8'!D1398</f>
        <v>0</v>
      </c>
      <c r="H442" s="63">
        <f>'приложение 8'!E1398</f>
        <v>0</v>
      </c>
      <c r="I442" s="63">
        <f>'приложение 8'!F1398</f>
        <v>0</v>
      </c>
      <c r="J442" s="63">
        <f>'приложение 8'!G1398</f>
        <v>0</v>
      </c>
      <c r="K442" s="63">
        <v>0</v>
      </c>
      <c r="L442" s="63">
        <v>0</v>
      </c>
      <c r="M442" s="63">
        <v>0</v>
      </c>
      <c r="N442" s="59">
        <v>0</v>
      </c>
      <c r="O442" s="269">
        <v>0</v>
      </c>
    </row>
    <row r="443" spans="1:15" ht="55.5" customHeight="1">
      <c r="A443" s="487"/>
      <c r="B443" s="510"/>
      <c r="C443" s="60" t="s">
        <v>118</v>
      </c>
      <c r="D443" s="42">
        <v>815</v>
      </c>
      <c r="E443" s="48" t="s">
        <v>213</v>
      </c>
      <c r="F443" s="49">
        <f t="shared" si="104"/>
        <v>829.6500000000001</v>
      </c>
      <c r="G443" s="63">
        <f>'приложение 8'!D1399</f>
        <v>230</v>
      </c>
      <c r="H443" s="63">
        <f>'приложение 8'!E1399</f>
        <v>149.826</v>
      </c>
      <c r="I443" s="63">
        <f>'приложение 8'!F1399</f>
        <v>0</v>
      </c>
      <c r="J443" s="63">
        <f>'приложение 8'!G1399</f>
        <v>0</v>
      </c>
      <c r="K443" s="63">
        <v>0</v>
      </c>
      <c r="L443" s="63">
        <f>199.824</f>
        <v>199.824</v>
      </c>
      <c r="M443" s="297">
        <v>250</v>
      </c>
      <c r="N443" s="59">
        <v>0</v>
      </c>
      <c r="O443" s="269">
        <v>0</v>
      </c>
    </row>
    <row r="444" spans="1:15" ht="48" customHeight="1">
      <c r="A444" s="487"/>
      <c r="B444" s="510"/>
      <c r="C444" s="60" t="s">
        <v>119</v>
      </c>
      <c r="D444" s="48"/>
      <c r="E444" s="48"/>
      <c r="F444" s="49">
        <f t="shared" si="104"/>
        <v>0</v>
      </c>
      <c r="G444" s="63">
        <f>'приложение 8'!D1400</f>
        <v>0</v>
      </c>
      <c r="H444" s="63">
        <f>'приложение 8'!E1400</f>
        <v>0</v>
      </c>
      <c r="I444" s="63">
        <f>'приложение 8'!F1400</f>
        <v>0</v>
      </c>
      <c r="J444" s="63">
        <f>'приложение 8'!G1400</f>
        <v>0</v>
      </c>
      <c r="K444" s="63">
        <v>0</v>
      </c>
      <c r="L444" s="63">
        <v>0</v>
      </c>
      <c r="M444" s="63">
        <v>0</v>
      </c>
      <c r="N444" s="59">
        <v>0</v>
      </c>
      <c r="O444" s="269">
        <v>0</v>
      </c>
    </row>
    <row r="445" spans="1:15" ht="62.25" customHeight="1">
      <c r="A445" s="487"/>
      <c r="B445" s="510"/>
      <c r="C445" s="60" t="s">
        <v>120</v>
      </c>
      <c r="D445" s="48"/>
      <c r="E445" s="48"/>
      <c r="F445" s="49">
        <f t="shared" si="104"/>
        <v>0</v>
      </c>
      <c r="G445" s="63">
        <f>'приложение 8'!D1401</f>
        <v>0</v>
      </c>
      <c r="H445" s="63">
        <f>'приложение 8'!E1401</f>
        <v>0</v>
      </c>
      <c r="I445" s="63">
        <f>'приложение 8'!F1401</f>
        <v>0</v>
      </c>
      <c r="J445" s="63">
        <f>'приложение 8'!G1401</f>
        <v>0</v>
      </c>
      <c r="K445" s="63">
        <v>0</v>
      </c>
      <c r="L445" s="63">
        <v>0</v>
      </c>
      <c r="M445" s="63">
        <v>0</v>
      </c>
      <c r="N445" s="59">
        <v>0</v>
      </c>
      <c r="O445" s="269">
        <v>0</v>
      </c>
    </row>
    <row r="446" spans="1:15" ht="56.25">
      <c r="A446" s="487"/>
      <c r="B446" s="510"/>
      <c r="C446" s="60" t="s">
        <v>192</v>
      </c>
      <c r="D446" s="48"/>
      <c r="E446" s="48"/>
      <c r="F446" s="49">
        <f t="shared" si="104"/>
        <v>0</v>
      </c>
      <c r="G446" s="63">
        <v>0</v>
      </c>
      <c r="H446" s="63">
        <v>0</v>
      </c>
      <c r="I446" s="63">
        <v>0</v>
      </c>
      <c r="J446" s="63">
        <v>0</v>
      </c>
      <c r="K446" s="63">
        <v>0</v>
      </c>
      <c r="L446" s="63">
        <v>0</v>
      </c>
      <c r="M446" s="63">
        <v>0</v>
      </c>
      <c r="N446" s="59">
        <v>0</v>
      </c>
      <c r="O446" s="269">
        <v>0</v>
      </c>
    </row>
    <row r="447" spans="1:15" ht="113.25" thickBot="1">
      <c r="A447" s="512"/>
      <c r="B447" s="513"/>
      <c r="C447" s="234" t="s">
        <v>178</v>
      </c>
      <c r="D447" s="235"/>
      <c r="E447" s="235"/>
      <c r="F447" s="276">
        <f t="shared" si="104"/>
        <v>0</v>
      </c>
      <c r="G447" s="236">
        <v>0</v>
      </c>
      <c r="H447" s="236">
        <v>0</v>
      </c>
      <c r="I447" s="236">
        <v>0</v>
      </c>
      <c r="J447" s="236">
        <v>0</v>
      </c>
      <c r="K447" s="236">
        <v>0</v>
      </c>
      <c r="L447" s="236">
        <v>0</v>
      </c>
      <c r="M447" s="236">
        <v>0</v>
      </c>
      <c r="N447" s="275">
        <v>0</v>
      </c>
      <c r="O447" s="273">
        <v>0</v>
      </c>
    </row>
    <row r="448" spans="1:15" ht="15.75">
      <c r="A448" s="65"/>
      <c r="B448" s="65"/>
      <c r="C448" s="65"/>
      <c r="D448" s="66"/>
      <c r="E448" s="67"/>
      <c r="F448" s="68"/>
      <c r="G448" s="68"/>
      <c r="H448" s="68"/>
      <c r="I448" s="68"/>
      <c r="J448" s="68"/>
      <c r="K448" s="69"/>
      <c r="L448" s="69"/>
      <c r="M448" s="69"/>
      <c r="N448" s="242"/>
      <c r="O448" s="242" t="s">
        <v>544</v>
      </c>
    </row>
    <row r="449" spans="1:13" ht="18.75">
      <c r="A449" s="65"/>
      <c r="B449" s="65"/>
      <c r="C449" s="493" t="s">
        <v>66</v>
      </c>
      <c r="D449" s="493"/>
      <c r="E449" s="493"/>
      <c r="F449" s="257">
        <f aca="true" t="shared" si="114" ref="F449:M450">F16+F73+F155+F180+F260+F362</f>
        <v>17316638.98173091</v>
      </c>
      <c r="G449" s="257">
        <f t="shared" si="114"/>
        <v>1722457.7529299997</v>
      </c>
      <c r="H449" s="257">
        <f t="shared" si="114"/>
        <v>1644160.87867</v>
      </c>
      <c r="I449" s="257">
        <f t="shared" si="114"/>
        <v>1739440.4019000002</v>
      </c>
      <c r="J449" s="257">
        <f t="shared" si="114"/>
        <v>2080407.0623</v>
      </c>
      <c r="K449" s="257">
        <f t="shared" si="114"/>
        <v>2075957.13598</v>
      </c>
      <c r="L449" s="257">
        <f t="shared" si="114"/>
        <v>2140920.5620509093</v>
      </c>
      <c r="M449" s="257">
        <f t="shared" si="114"/>
        <v>2510499.76564</v>
      </c>
    </row>
    <row r="450" spans="1:13" ht="18.75">
      <c r="A450" s="76"/>
      <c r="B450" s="76"/>
      <c r="C450" s="76"/>
      <c r="D450" s="76"/>
      <c r="E450" s="76"/>
      <c r="F450" s="257">
        <f t="shared" si="114"/>
        <v>2320578.7460000003</v>
      </c>
      <c r="G450" s="257">
        <f t="shared" si="114"/>
        <v>98363.584</v>
      </c>
      <c r="H450" s="257">
        <f t="shared" si="114"/>
        <v>102115.062</v>
      </c>
      <c r="I450" s="257">
        <f t="shared" si="114"/>
        <v>17202.2</v>
      </c>
      <c r="J450" s="257">
        <f t="shared" si="114"/>
        <v>37810</v>
      </c>
      <c r="K450" s="257">
        <f t="shared" si="114"/>
        <v>215527.4</v>
      </c>
      <c r="L450" s="257">
        <f t="shared" si="114"/>
        <v>452411.6</v>
      </c>
      <c r="M450" s="257">
        <f t="shared" si="114"/>
        <v>557991.7000000001</v>
      </c>
    </row>
    <row r="451" spans="1:13" ht="18.75">
      <c r="A451" s="76"/>
      <c r="B451" s="76"/>
      <c r="C451" s="76"/>
      <c r="D451" s="76"/>
      <c r="E451" s="76"/>
      <c r="F451" s="257">
        <f aca="true" t="shared" si="115" ref="F451:M451">F18+F75+F158+F184+F262+F364</f>
        <v>14686760.877279999</v>
      </c>
      <c r="G451" s="257">
        <f t="shared" si="115"/>
        <v>1593895.6534799999</v>
      </c>
      <c r="H451" s="257">
        <f t="shared" si="115"/>
        <v>1520923.2696699996</v>
      </c>
      <c r="I451" s="257">
        <f t="shared" si="115"/>
        <v>1695984.0189000003</v>
      </c>
      <c r="J451" s="257">
        <f t="shared" si="115"/>
        <v>1996536.3871</v>
      </c>
      <c r="K451" s="257">
        <f t="shared" si="115"/>
        <v>1829468.91698</v>
      </c>
      <c r="L451" s="257">
        <f t="shared" si="115"/>
        <v>1652730.62007</v>
      </c>
      <c r="M451" s="257">
        <f t="shared" si="115"/>
        <v>1913004.38008</v>
      </c>
    </row>
    <row r="452" spans="1:13" ht="18.75">
      <c r="A452" s="76"/>
      <c r="B452" s="76"/>
      <c r="C452" s="76"/>
      <c r="D452" s="76"/>
      <c r="E452" s="76"/>
      <c r="F452" s="77">
        <f aca="true" t="shared" si="116" ref="F452:M452">F19+F76+F160+F187+F267+F372</f>
        <v>273980.2054509091</v>
      </c>
      <c r="G452" s="77">
        <f t="shared" si="116"/>
        <v>29623.51545</v>
      </c>
      <c r="H452" s="77">
        <f t="shared" si="116"/>
        <v>20547.547000000002</v>
      </c>
      <c r="I452" s="77">
        <f t="shared" si="116"/>
        <v>25679.183</v>
      </c>
      <c r="J452" s="77">
        <f t="shared" si="116"/>
        <v>45485.6752</v>
      </c>
      <c r="K452" s="77">
        <f t="shared" si="116"/>
        <v>30385.819</v>
      </c>
      <c r="L452" s="77">
        <f t="shared" si="116"/>
        <v>30776.08898090909</v>
      </c>
      <c r="M452" s="77">
        <f t="shared" si="116"/>
        <v>30407.58556</v>
      </c>
    </row>
    <row r="454" spans="6:13" ht="18.75">
      <c r="F454" s="78">
        <f aca="true" t="shared" si="117" ref="F454:M454">F21+F78+F162+F189+F269+F374</f>
        <v>3450</v>
      </c>
      <c r="G454" s="78">
        <f t="shared" si="117"/>
        <v>575</v>
      </c>
      <c r="H454" s="78">
        <f t="shared" si="117"/>
        <v>575</v>
      </c>
      <c r="I454" s="78">
        <f t="shared" si="117"/>
        <v>575</v>
      </c>
      <c r="J454" s="78">
        <f t="shared" si="117"/>
        <v>575</v>
      </c>
      <c r="K454" s="78">
        <f t="shared" si="117"/>
        <v>575</v>
      </c>
      <c r="L454" s="78">
        <f t="shared" si="117"/>
        <v>575</v>
      </c>
      <c r="M454" s="78">
        <f t="shared" si="117"/>
        <v>0</v>
      </c>
    </row>
    <row r="455" ht="15">
      <c r="J455" s="254">
        <f>SUM(J450:J454)</f>
        <v>2080407.0622999999</v>
      </c>
    </row>
    <row r="457" ht="15">
      <c r="J457" s="254">
        <f>J449-J455</f>
        <v>0</v>
      </c>
    </row>
  </sheetData>
  <sheetProtection/>
  <mergeCells count="113">
    <mergeCell ref="B338:B345"/>
    <mergeCell ref="A330:A337"/>
    <mergeCell ref="B330:B337"/>
    <mergeCell ref="B376:B384"/>
    <mergeCell ref="A180:A190"/>
    <mergeCell ref="A281:A292"/>
    <mergeCell ref="B281:B292"/>
    <mergeCell ref="A320:A329"/>
    <mergeCell ref="B235:B241"/>
    <mergeCell ref="A224:A234"/>
    <mergeCell ref="B127:B133"/>
    <mergeCell ref="A127:A133"/>
    <mergeCell ref="B216:B223"/>
    <mergeCell ref="B134:B140"/>
    <mergeCell ref="B198:B206"/>
    <mergeCell ref="A134:A140"/>
    <mergeCell ref="A441:A447"/>
    <mergeCell ref="B441:B447"/>
    <mergeCell ref="A412:A418"/>
    <mergeCell ref="B412:B418"/>
    <mergeCell ref="A419:A431"/>
    <mergeCell ref="A395:A404"/>
    <mergeCell ref="B395:B404"/>
    <mergeCell ref="B419:B431"/>
    <mergeCell ref="A432:A440"/>
    <mergeCell ref="B432:B440"/>
    <mergeCell ref="A312:A319"/>
    <mergeCell ref="B312:B319"/>
    <mergeCell ref="B354:B361"/>
    <mergeCell ref="B251:B259"/>
    <mergeCell ref="A354:A361"/>
    <mergeCell ref="A376:A384"/>
    <mergeCell ref="B260:B270"/>
    <mergeCell ref="B346:B353"/>
    <mergeCell ref="A271:A280"/>
    <mergeCell ref="A338:A345"/>
    <mergeCell ref="B385:B394"/>
    <mergeCell ref="A405:A411"/>
    <mergeCell ref="B362:B375"/>
    <mergeCell ref="A362:A375"/>
    <mergeCell ref="A251:A259"/>
    <mergeCell ref="B320:B329"/>
    <mergeCell ref="B293:B302"/>
    <mergeCell ref="B405:B411"/>
    <mergeCell ref="B271:B280"/>
    <mergeCell ref="A385:A394"/>
    <mergeCell ref="A106:A112"/>
    <mergeCell ref="B155:B163"/>
    <mergeCell ref="A99:A105"/>
    <mergeCell ref="B73:B79"/>
    <mergeCell ref="A59:A65"/>
    <mergeCell ref="B59:B65"/>
    <mergeCell ref="B90:B98"/>
    <mergeCell ref="A66:A72"/>
    <mergeCell ref="B66:B72"/>
    <mergeCell ref="B148:B154"/>
    <mergeCell ref="B99:B105"/>
    <mergeCell ref="A52:A58"/>
    <mergeCell ref="A45:A51"/>
    <mergeCell ref="B45:B51"/>
    <mergeCell ref="B38:B44"/>
    <mergeCell ref="A38:A44"/>
    <mergeCell ref="B52:B58"/>
    <mergeCell ref="B80:B89"/>
    <mergeCell ref="A30:A37"/>
    <mergeCell ref="F6:O6"/>
    <mergeCell ref="A6:A7"/>
    <mergeCell ref="B6:B7"/>
    <mergeCell ref="A9:A15"/>
    <mergeCell ref="B23:B29"/>
    <mergeCell ref="A16:A22"/>
    <mergeCell ref="B16:B22"/>
    <mergeCell ref="A23:A29"/>
    <mergeCell ref="M1:O1"/>
    <mergeCell ref="A3:O3"/>
    <mergeCell ref="A4:O4"/>
    <mergeCell ref="A90:A98"/>
    <mergeCell ref="A73:A79"/>
    <mergeCell ref="B30:B37"/>
    <mergeCell ref="B9:B15"/>
    <mergeCell ref="A80:A89"/>
    <mergeCell ref="C6:C7"/>
    <mergeCell ref="D6:E6"/>
    <mergeCell ref="A113:A119"/>
    <mergeCell ref="B180:B190"/>
    <mergeCell ref="A191:A197"/>
    <mergeCell ref="B164:B171"/>
    <mergeCell ref="A141:A147"/>
    <mergeCell ref="B141:B147"/>
    <mergeCell ref="A155:A163"/>
    <mergeCell ref="A148:A154"/>
    <mergeCell ref="B113:B119"/>
    <mergeCell ref="B120:B126"/>
    <mergeCell ref="B106:B112"/>
    <mergeCell ref="C449:E449"/>
    <mergeCell ref="A303:A311"/>
    <mergeCell ref="B303:B311"/>
    <mergeCell ref="B191:B197"/>
    <mergeCell ref="A293:A302"/>
    <mergeCell ref="A260:A270"/>
    <mergeCell ref="A242:A250"/>
    <mergeCell ref="A346:A353"/>
    <mergeCell ref="A216:A223"/>
    <mergeCell ref="A120:A126"/>
    <mergeCell ref="B172:B179"/>
    <mergeCell ref="A172:A179"/>
    <mergeCell ref="B242:B250"/>
    <mergeCell ref="A164:A171"/>
    <mergeCell ref="A207:A215"/>
    <mergeCell ref="A235:A241"/>
    <mergeCell ref="B207:B215"/>
    <mergeCell ref="A198:A206"/>
    <mergeCell ref="B224:B234"/>
  </mergeCells>
  <printOptions/>
  <pageMargins left="0.5118110236220472" right="0.5118110236220472" top="0.8661417322834646" bottom="0.5118110236220472" header="0.31496062992125984" footer="0.31496062992125984"/>
  <pageSetup fitToHeight="0" fitToWidth="1" horizontalDpi="600" verticalDpi="600" orientation="landscape" paperSize="9" scale="42" r:id="rId1"/>
  <rowBreaks count="25" manualBreakCount="25">
    <brk id="22" max="14" man="1"/>
    <brk id="37" max="14" man="1"/>
    <brk id="51" max="14" man="1"/>
    <brk id="65" max="14" man="1"/>
    <brk id="79" max="14" man="1"/>
    <brk id="98" max="14" man="1"/>
    <brk id="112" max="14" man="1"/>
    <brk id="126" max="14" man="1"/>
    <brk id="140" max="14" man="1"/>
    <brk id="154" max="14" man="1"/>
    <brk id="171" max="14" man="1"/>
    <brk id="190" max="14" man="1"/>
    <brk id="206" max="14" man="1"/>
    <brk id="223" max="14" man="1"/>
    <brk id="241" max="14" man="1"/>
    <brk id="259" max="14" man="1"/>
    <brk id="270" max="14" man="1"/>
    <brk id="311" max="14" man="1"/>
    <brk id="329" max="14" man="1"/>
    <brk id="345" max="14" man="1"/>
    <brk id="361" max="14" man="1"/>
    <brk id="375" max="14" man="1"/>
    <brk id="394" max="14" man="1"/>
    <brk id="411" max="14" man="1"/>
    <brk id="431" max="14" man="1"/>
  </rowBreaks>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1">
      <selection activeCell="F3" sqref="F3:F19"/>
    </sheetView>
  </sheetViews>
  <sheetFormatPr defaultColWidth="9.140625" defaultRowHeight="15"/>
  <cols>
    <col min="2" max="2" width="20.8515625" style="0" customWidth="1"/>
    <col min="3" max="3" width="23.57421875" style="0" customWidth="1"/>
    <col min="4" max="4" width="14.57421875" style="0" customWidth="1"/>
  </cols>
  <sheetData>
    <row r="1" spans="1:4" ht="15">
      <c r="A1" s="514" t="s">
        <v>545</v>
      </c>
      <c r="B1" s="514"/>
      <c r="C1" s="514"/>
      <c r="D1" s="243">
        <v>3029820</v>
      </c>
    </row>
    <row r="2" spans="1:4" ht="15">
      <c r="A2" s="515" t="s">
        <v>546</v>
      </c>
      <c r="B2" s="515"/>
      <c r="C2" s="515"/>
      <c r="D2" s="244">
        <v>3029820</v>
      </c>
    </row>
    <row r="3" spans="1:6" ht="15">
      <c r="A3" s="245">
        <v>251</v>
      </c>
      <c r="B3" s="246" t="s">
        <v>547</v>
      </c>
      <c r="C3" s="246" t="s">
        <v>548</v>
      </c>
      <c r="D3" s="247">
        <v>52000</v>
      </c>
      <c r="E3">
        <v>5</v>
      </c>
      <c r="F3">
        <f>D3/95*5</f>
        <v>2736.842105263158</v>
      </c>
    </row>
    <row r="4" spans="1:6" ht="15">
      <c r="A4" s="245">
        <v>251</v>
      </c>
      <c r="B4" s="249" t="s">
        <v>549</v>
      </c>
      <c r="C4" s="246" t="s">
        <v>550</v>
      </c>
      <c r="D4" s="247">
        <v>506350</v>
      </c>
      <c r="F4">
        <f aca="true" t="shared" si="0" ref="F4:F10">D4/95*5</f>
        <v>26650</v>
      </c>
    </row>
    <row r="5" spans="1:6" ht="15">
      <c r="A5" s="245">
        <v>251</v>
      </c>
      <c r="B5" s="249" t="s">
        <v>551</v>
      </c>
      <c r="C5" s="246" t="s">
        <v>552</v>
      </c>
      <c r="D5" s="247">
        <v>380000</v>
      </c>
      <c r="F5">
        <f t="shared" si="0"/>
        <v>20000</v>
      </c>
    </row>
    <row r="6" spans="1:6" ht="15">
      <c r="A6" s="245">
        <v>251</v>
      </c>
      <c r="B6" s="249" t="s">
        <v>553</v>
      </c>
      <c r="C6" s="246" t="s">
        <v>554</v>
      </c>
      <c r="D6" s="247">
        <v>597550</v>
      </c>
      <c r="F6">
        <f t="shared" si="0"/>
        <v>31450</v>
      </c>
    </row>
    <row r="7" spans="1:6" ht="15">
      <c r="A7" s="245">
        <v>251</v>
      </c>
      <c r="B7" s="249" t="s">
        <v>555</v>
      </c>
      <c r="C7" s="246" t="s">
        <v>556</v>
      </c>
      <c r="D7" s="247">
        <v>67920</v>
      </c>
      <c r="F7">
        <f t="shared" si="0"/>
        <v>3574.736842105263</v>
      </c>
    </row>
    <row r="8" spans="1:6" ht="15">
      <c r="A8" s="245">
        <v>251</v>
      </c>
      <c r="B8" s="249" t="s">
        <v>557</v>
      </c>
      <c r="C8" s="246" t="s">
        <v>558</v>
      </c>
      <c r="D8" s="247">
        <v>400000</v>
      </c>
      <c r="F8">
        <f t="shared" si="0"/>
        <v>21052.631578947367</v>
      </c>
    </row>
    <row r="9" spans="1:6" ht="15">
      <c r="A9" s="245">
        <v>251</v>
      </c>
      <c r="B9" s="246" t="s">
        <v>559</v>
      </c>
      <c r="C9" s="246" t="s">
        <v>560</v>
      </c>
      <c r="D9" s="248"/>
      <c r="F9">
        <f t="shared" si="0"/>
        <v>0</v>
      </c>
    </row>
    <row r="10" spans="1:6" ht="15">
      <c r="A10" s="245">
        <v>251</v>
      </c>
      <c r="B10" s="246" t="s">
        <v>561</v>
      </c>
      <c r="C10" s="246" t="s">
        <v>562</v>
      </c>
      <c r="D10" s="247">
        <v>1026000</v>
      </c>
      <c r="F10">
        <f t="shared" si="0"/>
        <v>54000</v>
      </c>
    </row>
    <row r="11" spans="1:4" ht="15">
      <c r="A11" s="514" t="s">
        <v>563</v>
      </c>
      <c r="B11" s="514"/>
      <c r="C11" s="514"/>
      <c r="D11" s="243">
        <v>1986000</v>
      </c>
    </row>
    <row r="12" spans="1:4" ht="15">
      <c r="A12" s="515" t="s">
        <v>546</v>
      </c>
      <c r="B12" s="515"/>
      <c r="C12" s="515"/>
      <c r="D12" s="244">
        <v>1986000</v>
      </c>
    </row>
    <row r="13" spans="1:6" ht="15">
      <c r="A13" s="245">
        <v>251</v>
      </c>
      <c r="B13" s="246" t="s">
        <v>564</v>
      </c>
      <c r="C13" s="246" t="s">
        <v>565</v>
      </c>
      <c r="D13" s="247">
        <v>150000</v>
      </c>
      <c r="E13">
        <v>20</v>
      </c>
      <c r="F13">
        <f>D13/80*20</f>
        <v>37500</v>
      </c>
    </row>
    <row r="14" spans="1:6" ht="15">
      <c r="A14" s="245">
        <v>251</v>
      </c>
      <c r="B14" s="246" t="s">
        <v>566</v>
      </c>
      <c r="C14" s="246" t="s">
        <v>567</v>
      </c>
      <c r="D14" s="248"/>
      <c r="F14">
        <f aca="true" t="shared" si="1" ref="F14:F19">D14/95*5</f>
        <v>0</v>
      </c>
    </row>
    <row r="15" spans="1:6" ht="15">
      <c r="A15" s="245">
        <v>251</v>
      </c>
      <c r="B15" s="249" t="s">
        <v>549</v>
      </c>
      <c r="C15" s="246" t="s">
        <v>550</v>
      </c>
      <c r="D15" s="247">
        <v>266000</v>
      </c>
      <c r="F15">
        <f t="shared" si="1"/>
        <v>14000</v>
      </c>
    </row>
    <row r="16" spans="1:6" ht="15">
      <c r="A16" s="245">
        <v>251</v>
      </c>
      <c r="B16" s="249" t="s">
        <v>553</v>
      </c>
      <c r="C16" s="246" t="s">
        <v>554</v>
      </c>
      <c r="D16" s="248"/>
      <c r="F16">
        <f t="shared" si="1"/>
        <v>0</v>
      </c>
    </row>
    <row r="17" spans="1:6" ht="15">
      <c r="A17" s="245">
        <v>251</v>
      </c>
      <c r="B17" s="246" t="s">
        <v>555</v>
      </c>
      <c r="C17" s="246" t="s">
        <v>556</v>
      </c>
      <c r="D17" s="248"/>
      <c r="F17">
        <f t="shared" si="1"/>
        <v>0</v>
      </c>
    </row>
    <row r="18" spans="1:6" ht="15">
      <c r="A18" s="245">
        <v>251</v>
      </c>
      <c r="B18" s="249" t="s">
        <v>557</v>
      </c>
      <c r="C18" s="246" t="s">
        <v>558</v>
      </c>
      <c r="D18" s="247">
        <v>70000</v>
      </c>
      <c r="F18">
        <f t="shared" si="1"/>
        <v>3684.2105263157896</v>
      </c>
    </row>
    <row r="19" spans="1:6" ht="15">
      <c r="A19" s="245">
        <v>251</v>
      </c>
      <c r="B19" s="246" t="s">
        <v>561</v>
      </c>
      <c r="C19" s="246" t="s">
        <v>562</v>
      </c>
      <c r="D19" s="247">
        <v>1500000</v>
      </c>
      <c r="F19">
        <f t="shared" si="1"/>
        <v>78947.36842105264</v>
      </c>
    </row>
  </sheetData>
  <sheetProtection/>
  <mergeCells count="4">
    <mergeCell ref="A1:C1"/>
    <mergeCell ref="A2:C2"/>
    <mergeCell ref="A11:C11"/>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277"/>
  <sheetViews>
    <sheetView zoomScale="50" zoomScaleNormal="50" zoomScalePageLayoutView="0" workbookViewId="0" topLeftCell="A40">
      <selection activeCell="K8" sqref="K8"/>
    </sheetView>
  </sheetViews>
  <sheetFormatPr defaultColWidth="9.140625" defaultRowHeight="15"/>
  <cols>
    <col min="1" max="1" width="9.140625" style="70" customWidth="1"/>
    <col min="2" max="2" width="37.7109375" style="70" customWidth="1"/>
    <col min="3" max="3" width="45.00390625" style="70" customWidth="1"/>
    <col min="4" max="4" width="10.8515625" style="70" customWidth="1"/>
    <col min="5" max="5" width="11.8515625" style="71" customWidth="1"/>
    <col min="6" max="6" width="25.00390625" style="70" customWidth="1"/>
    <col min="7" max="7" width="21.7109375" style="70" customWidth="1"/>
    <col min="8" max="9" width="21.00390625" style="70" customWidth="1"/>
    <col min="10" max="10" width="21.00390625" style="92" customWidth="1"/>
    <col min="11" max="13" width="22.421875" style="70" customWidth="1"/>
    <col min="14" max="21" width="24.00390625" style="2" customWidth="1"/>
    <col min="22" max="16384" width="9.140625" style="2" customWidth="1"/>
  </cols>
  <sheetData>
    <row r="1" spans="1:13" ht="57.75" customHeight="1">
      <c r="A1" s="31"/>
      <c r="B1" s="31"/>
      <c r="C1" s="31"/>
      <c r="D1" s="32"/>
      <c r="E1" s="33"/>
      <c r="F1" s="34"/>
      <c r="G1" s="35"/>
      <c r="H1" s="527" t="s">
        <v>175</v>
      </c>
      <c r="I1" s="527"/>
      <c r="J1" s="527"/>
      <c r="K1" s="527"/>
      <c r="L1" s="527"/>
      <c r="M1" s="527"/>
    </row>
    <row r="2" spans="1:13" ht="6" customHeight="1">
      <c r="A2" s="31"/>
      <c r="B2" s="31"/>
      <c r="C2" s="31"/>
      <c r="D2" s="32"/>
      <c r="E2" s="33"/>
      <c r="F2" s="34"/>
      <c r="G2" s="34"/>
      <c r="H2" s="34"/>
      <c r="I2" s="34"/>
      <c r="J2" s="81"/>
      <c r="K2" s="34"/>
      <c r="L2" s="34"/>
      <c r="M2" s="34"/>
    </row>
    <row r="3" spans="1:13" ht="22.5" customHeight="1">
      <c r="A3" s="528" t="s">
        <v>208</v>
      </c>
      <c r="B3" s="528"/>
      <c r="C3" s="528"/>
      <c r="D3" s="528"/>
      <c r="E3" s="528"/>
      <c r="F3" s="528"/>
      <c r="G3" s="528"/>
      <c r="H3" s="528"/>
      <c r="I3" s="528"/>
      <c r="J3" s="528"/>
      <c r="K3" s="528"/>
      <c r="L3" s="528"/>
      <c r="M3" s="528"/>
    </row>
    <row r="4" spans="1:13" ht="39" customHeight="1">
      <c r="A4" s="31"/>
      <c r="B4" s="31"/>
      <c r="C4" s="31"/>
      <c r="D4" s="32"/>
      <c r="E4" s="33"/>
      <c r="F4" s="34"/>
      <c r="G4" s="34"/>
      <c r="H4" s="34"/>
      <c r="I4" s="34"/>
      <c r="J4" s="81"/>
      <c r="K4" s="36"/>
      <c r="L4" s="36"/>
      <c r="M4" s="36" t="s">
        <v>112</v>
      </c>
    </row>
    <row r="5" spans="1:13" s="4" customFormat="1" ht="52.5" customHeight="1">
      <c r="A5" s="503" t="s">
        <v>106</v>
      </c>
      <c r="B5" s="503" t="s">
        <v>113</v>
      </c>
      <c r="C5" s="503"/>
      <c r="D5" s="503" t="s">
        <v>114</v>
      </c>
      <c r="E5" s="503"/>
      <c r="F5" s="529" t="s">
        <v>107</v>
      </c>
      <c r="G5" s="529"/>
      <c r="H5" s="529"/>
      <c r="I5" s="529"/>
      <c r="J5" s="529"/>
      <c r="K5" s="529"/>
      <c r="L5" s="529"/>
      <c r="M5" s="529"/>
    </row>
    <row r="6" spans="1:13" s="4" customFormat="1" ht="52.5" customHeight="1">
      <c r="A6" s="503"/>
      <c r="B6" s="503"/>
      <c r="C6" s="503"/>
      <c r="D6" s="39" t="s">
        <v>108</v>
      </c>
      <c r="E6" s="40" t="s">
        <v>198</v>
      </c>
      <c r="F6" s="38" t="s">
        <v>115</v>
      </c>
      <c r="G6" s="41">
        <v>2014</v>
      </c>
      <c r="H6" s="41">
        <v>2015</v>
      </c>
      <c r="I6" s="41">
        <v>2016</v>
      </c>
      <c r="J6" s="82">
        <v>2017</v>
      </c>
      <c r="K6" s="41">
        <v>2018</v>
      </c>
      <c r="L6" s="41">
        <v>2019</v>
      </c>
      <c r="M6" s="41">
        <v>2020</v>
      </c>
    </row>
    <row r="7" spans="1:13" s="4" customFormat="1" ht="18.75">
      <c r="A7" s="42">
        <v>1</v>
      </c>
      <c r="B7" s="42">
        <v>2</v>
      </c>
      <c r="C7" s="42">
        <v>3</v>
      </c>
      <c r="D7" s="42">
        <v>4</v>
      </c>
      <c r="E7" s="43">
        <v>5</v>
      </c>
      <c r="F7" s="44">
        <v>6</v>
      </c>
      <c r="G7" s="44">
        <v>7</v>
      </c>
      <c r="H7" s="44">
        <v>8</v>
      </c>
      <c r="I7" s="44">
        <v>9</v>
      </c>
      <c r="J7" s="83">
        <v>10</v>
      </c>
      <c r="K7" s="44">
        <v>11</v>
      </c>
      <c r="L7" s="44">
        <v>12</v>
      </c>
      <c r="M7" s="44">
        <v>13</v>
      </c>
    </row>
    <row r="8" spans="1:21" s="5" customFormat="1" ht="41.25" customHeight="1">
      <c r="A8" s="496"/>
      <c r="B8" s="526" t="s">
        <v>176</v>
      </c>
      <c r="C8" s="46" t="s">
        <v>116</v>
      </c>
      <c r="D8" s="42"/>
      <c r="E8" s="43"/>
      <c r="F8" s="47">
        <f>G8+H8+I8+J8+K8+L8+M8</f>
        <v>11860283.49914</v>
      </c>
      <c r="G8" s="47">
        <f>SUM(G9:G14)</f>
        <v>1722457.75293</v>
      </c>
      <c r="H8" s="47">
        <f aca="true" t="shared" si="0" ref="H8:M8">SUM(H9:H14)</f>
        <v>1644160.8786699995</v>
      </c>
      <c r="I8" s="47">
        <f t="shared" si="0"/>
        <v>1739440.4019000002</v>
      </c>
      <c r="J8" s="84">
        <f t="shared" si="0"/>
        <v>2080407.0622999999</v>
      </c>
      <c r="K8" s="47">
        <f t="shared" si="0"/>
        <v>1820871.10714</v>
      </c>
      <c r="L8" s="47">
        <f t="shared" si="0"/>
        <v>1411016.2101</v>
      </c>
      <c r="M8" s="47">
        <f t="shared" si="0"/>
        <v>1441930.0861000002</v>
      </c>
      <c r="N8" s="47">
        <v>10126778.992870001</v>
      </c>
      <c r="O8" s="47">
        <v>1707716.03293</v>
      </c>
      <c r="P8" s="47">
        <v>1580081.8786699998</v>
      </c>
      <c r="Q8" s="47">
        <v>1699145.7178999998</v>
      </c>
      <c r="R8" s="84">
        <v>1893460.4133700002</v>
      </c>
      <c r="S8" s="47">
        <v>1310101.17</v>
      </c>
      <c r="T8" s="47">
        <v>1146723.82</v>
      </c>
      <c r="U8" s="47">
        <v>789549.9600000001</v>
      </c>
    </row>
    <row r="9" spans="1:21" s="5" customFormat="1" ht="41.25" customHeight="1">
      <c r="A9" s="496"/>
      <c r="B9" s="526"/>
      <c r="C9" s="45" t="s">
        <v>117</v>
      </c>
      <c r="D9" s="48"/>
      <c r="E9" s="43"/>
      <c r="F9" s="49">
        <f aca="true" t="shared" si="1" ref="F9:F14">G9+H9+I9+J9+M9</f>
        <v>255490.84600000002</v>
      </c>
      <c r="G9" s="49">
        <f aca="true" t="shared" si="2" ref="G9:M9">G16+G45+G78+G94+G136+G188</f>
        <v>98363.584</v>
      </c>
      <c r="H9" s="49">
        <f t="shared" si="2"/>
        <v>102115.062</v>
      </c>
      <c r="I9" s="49">
        <f t="shared" si="2"/>
        <v>17202.2</v>
      </c>
      <c r="J9" s="85">
        <f t="shared" si="2"/>
        <v>37810</v>
      </c>
      <c r="K9" s="49">
        <f t="shared" si="2"/>
        <v>49527.4</v>
      </c>
      <c r="L9" s="49">
        <f t="shared" si="2"/>
        <v>0</v>
      </c>
      <c r="M9" s="49">
        <f t="shared" si="2"/>
        <v>0</v>
      </c>
      <c r="N9" s="49">
        <v>235174.146</v>
      </c>
      <c r="O9" s="49">
        <v>98363.584</v>
      </c>
      <c r="P9" s="49">
        <v>110536.062</v>
      </c>
      <c r="Q9" s="49">
        <v>17202.2</v>
      </c>
      <c r="R9" s="85">
        <v>9072.3</v>
      </c>
      <c r="S9" s="49">
        <v>0</v>
      </c>
      <c r="T9" s="49">
        <v>0</v>
      </c>
      <c r="U9" s="49">
        <v>0</v>
      </c>
    </row>
    <row r="10" spans="1:21" s="5" customFormat="1" ht="36" customHeight="1">
      <c r="A10" s="496"/>
      <c r="B10" s="526"/>
      <c r="C10" s="46" t="s">
        <v>118</v>
      </c>
      <c r="D10" s="50"/>
      <c r="E10" s="51"/>
      <c r="F10" s="47">
        <f>G10+H10+I10+J10+K10+L10+M10</f>
        <v>11340228.92249</v>
      </c>
      <c r="G10" s="47">
        <f>G17+G46+G79+G95+G137+G189</f>
        <v>1593895.6534799999</v>
      </c>
      <c r="H10" s="47">
        <f>H17+H46+H79+H95+H137+H189</f>
        <v>1520923.2696699996</v>
      </c>
      <c r="I10" s="47">
        <f>I17+I46+I79+I95+I137+I189</f>
        <v>1695984.0189000003</v>
      </c>
      <c r="J10" s="84">
        <f>J17+J46+J79+J95+J137+J189+J80</f>
        <v>1996536.3871</v>
      </c>
      <c r="K10" s="47">
        <f>K17+K46+K79+K95+K137+K189</f>
        <v>1740685.23714</v>
      </c>
      <c r="L10" s="47">
        <f>L17+L46+L79+L95+L137+L189</f>
        <v>1380357.7401</v>
      </c>
      <c r="M10" s="47">
        <f>M17+M46+M79+M95+M137+M189</f>
        <v>1411846.6161000002</v>
      </c>
      <c r="N10" s="47">
        <v>9721703.35802</v>
      </c>
      <c r="O10" s="47">
        <v>1579153.93348</v>
      </c>
      <c r="P10" s="47">
        <v>1448423.2696699998</v>
      </c>
      <c r="Q10" s="47">
        <v>1655689.3349</v>
      </c>
      <c r="R10" s="84">
        <v>1853378.80997</v>
      </c>
      <c r="S10" s="47">
        <v>1279442.7</v>
      </c>
      <c r="T10" s="47">
        <v>1116065.35</v>
      </c>
      <c r="U10" s="47">
        <v>789549.9600000001</v>
      </c>
    </row>
    <row r="11" spans="1:21" s="5" customFormat="1" ht="36" customHeight="1">
      <c r="A11" s="496"/>
      <c r="B11" s="526"/>
      <c r="C11" s="45" t="s">
        <v>119</v>
      </c>
      <c r="D11" s="48"/>
      <c r="E11" s="43"/>
      <c r="F11" s="49">
        <f>G11+H11+I11+J11+K11+L11+M11</f>
        <v>211586.33065000002</v>
      </c>
      <c r="G11" s="49">
        <f aca="true" t="shared" si="3" ref="G11:M14">G18+G47+G81+G98+G141+G196</f>
        <v>29623.51545</v>
      </c>
      <c r="H11" s="49">
        <f t="shared" si="3"/>
        <v>20547.547000000002</v>
      </c>
      <c r="I11" s="49">
        <f t="shared" si="3"/>
        <v>25679.183</v>
      </c>
      <c r="J11" s="85">
        <f t="shared" si="3"/>
        <v>45485.6752</v>
      </c>
      <c r="K11" s="49">
        <f t="shared" si="3"/>
        <v>30083.47</v>
      </c>
      <c r="L11" s="49">
        <f t="shared" si="3"/>
        <v>30083.47</v>
      </c>
      <c r="M11" s="49">
        <f t="shared" si="3"/>
        <v>30083.47</v>
      </c>
      <c r="N11" s="49">
        <v>166451.48885</v>
      </c>
      <c r="O11" s="49">
        <v>29623.51545</v>
      </c>
      <c r="P11" s="49">
        <v>20547.547000000002</v>
      </c>
      <c r="Q11" s="49">
        <v>25679.183</v>
      </c>
      <c r="R11" s="85">
        <v>30434.3034</v>
      </c>
      <c r="S11" s="49">
        <v>30083.47</v>
      </c>
      <c r="T11" s="49">
        <v>30083.47</v>
      </c>
      <c r="U11" s="49">
        <v>0</v>
      </c>
    </row>
    <row r="12" spans="1:21" s="5" customFormat="1" ht="37.5">
      <c r="A12" s="496"/>
      <c r="B12" s="526"/>
      <c r="C12" s="45" t="s">
        <v>120</v>
      </c>
      <c r="D12" s="48"/>
      <c r="E12" s="43"/>
      <c r="F12" s="49">
        <f t="shared" si="1"/>
        <v>0</v>
      </c>
      <c r="G12" s="49">
        <f t="shared" si="3"/>
        <v>0</v>
      </c>
      <c r="H12" s="49">
        <f t="shared" si="3"/>
        <v>0</v>
      </c>
      <c r="I12" s="49">
        <f t="shared" si="3"/>
        <v>0</v>
      </c>
      <c r="J12" s="85">
        <f t="shared" si="3"/>
        <v>0</v>
      </c>
      <c r="K12" s="49">
        <f t="shared" si="3"/>
        <v>0</v>
      </c>
      <c r="L12" s="49">
        <f t="shared" si="3"/>
        <v>0</v>
      </c>
      <c r="M12" s="49">
        <f t="shared" si="3"/>
        <v>0</v>
      </c>
      <c r="N12" s="49">
        <v>0</v>
      </c>
      <c r="O12" s="49">
        <v>0</v>
      </c>
      <c r="P12" s="49">
        <v>0</v>
      </c>
      <c r="Q12" s="49">
        <v>0</v>
      </c>
      <c r="R12" s="85">
        <v>0</v>
      </c>
      <c r="S12" s="49">
        <v>0</v>
      </c>
      <c r="T12" s="49">
        <v>0</v>
      </c>
      <c r="U12" s="49">
        <v>0</v>
      </c>
    </row>
    <row r="13" spans="1:21" s="5" customFormat="1" ht="37.5">
      <c r="A13" s="496"/>
      <c r="B13" s="526"/>
      <c r="C13" s="45" t="s">
        <v>192</v>
      </c>
      <c r="D13" s="48"/>
      <c r="E13" s="48"/>
      <c r="F13" s="49">
        <f>G13+H13+I13+J13+K13+L13+M13</f>
        <v>3450</v>
      </c>
      <c r="G13" s="49">
        <f t="shared" si="3"/>
        <v>575</v>
      </c>
      <c r="H13" s="49">
        <f t="shared" si="3"/>
        <v>575</v>
      </c>
      <c r="I13" s="49">
        <f t="shared" si="3"/>
        <v>575</v>
      </c>
      <c r="J13" s="85">
        <f t="shared" si="3"/>
        <v>575</v>
      </c>
      <c r="K13" s="49">
        <f t="shared" si="3"/>
        <v>575</v>
      </c>
      <c r="L13" s="49">
        <f t="shared" si="3"/>
        <v>575</v>
      </c>
      <c r="M13" s="49">
        <f t="shared" si="3"/>
        <v>0</v>
      </c>
      <c r="N13" s="49">
        <v>3450</v>
      </c>
      <c r="O13" s="49">
        <v>575</v>
      </c>
      <c r="P13" s="49">
        <v>575</v>
      </c>
      <c r="Q13" s="49">
        <v>575</v>
      </c>
      <c r="R13" s="85">
        <v>575</v>
      </c>
      <c r="S13" s="49">
        <v>575</v>
      </c>
      <c r="T13" s="49">
        <v>575</v>
      </c>
      <c r="U13" s="49">
        <v>0</v>
      </c>
    </row>
    <row r="14" spans="1:21" s="5" customFormat="1" ht="41.25" customHeight="1">
      <c r="A14" s="496"/>
      <c r="B14" s="526"/>
      <c r="C14" s="45" t="s">
        <v>177</v>
      </c>
      <c r="D14" s="48"/>
      <c r="E14" s="48"/>
      <c r="F14" s="49">
        <f t="shared" si="1"/>
        <v>0</v>
      </c>
      <c r="G14" s="49">
        <f t="shared" si="3"/>
        <v>0</v>
      </c>
      <c r="H14" s="49">
        <f t="shared" si="3"/>
        <v>0</v>
      </c>
      <c r="I14" s="49">
        <f t="shared" si="3"/>
        <v>0</v>
      </c>
      <c r="J14" s="85">
        <f t="shared" si="3"/>
        <v>0</v>
      </c>
      <c r="K14" s="49">
        <f t="shared" si="3"/>
        <v>0</v>
      </c>
      <c r="L14" s="49">
        <f t="shared" si="3"/>
        <v>0</v>
      </c>
      <c r="M14" s="49">
        <f t="shared" si="3"/>
        <v>0</v>
      </c>
      <c r="N14" s="49">
        <v>0</v>
      </c>
      <c r="O14" s="49">
        <v>0</v>
      </c>
      <c r="P14" s="49">
        <v>0</v>
      </c>
      <c r="Q14" s="49">
        <v>0</v>
      </c>
      <c r="R14" s="85">
        <v>0</v>
      </c>
      <c r="S14" s="49">
        <v>0</v>
      </c>
      <c r="T14" s="49">
        <v>0</v>
      </c>
      <c r="U14" s="49">
        <v>0</v>
      </c>
    </row>
    <row r="15" spans="1:13" s="6" customFormat="1" ht="27.75" customHeight="1">
      <c r="A15" s="494" t="s">
        <v>50</v>
      </c>
      <c r="B15" s="496" t="s">
        <v>179</v>
      </c>
      <c r="C15" s="46" t="s">
        <v>116</v>
      </c>
      <c r="D15" s="52"/>
      <c r="E15" s="50"/>
      <c r="F15" s="47">
        <f aca="true" t="shared" si="4" ref="F15:M17">F22+F29+F37</f>
        <v>180333.02609</v>
      </c>
      <c r="G15" s="47">
        <f t="shared" si="4"/>
        <v>30197.313390000003</v>
      </c>
      <c r="H15" s="47">
        <f t="shared" si="4"/>
        <v>38076.90602</v>
      </c>
      <c r="I15" s="47">
        <f>I16+I17+I18</f>
        <v>56512.95668</v>
      </c>
      <c r="J15" s="84">
        <f t="shared" si="4"/>
        <v>24323.65</v>
      </c>
      <c r="K15" s="47">
        <f>K22+K29+K37</f>
        <v>31222.2</v>
      </c>
      <c r="L15" s="47">
        <f>L22+L29+L37</f>
        <v>0</v>
      </c>
      <c r="M15" s="47">
        <f t="shared" si="4"/>
        <v>0</v>
      </c>
    </row>
    <row r="16" spans="1:13" s="5" customFormat="1" ht="37.5">
      <c r="A16" s="494"/>
      <c r="B16" s="496"/>
      <c r="C16" s="45" t="s">
        <v>117</v>
      </c>
      <c r="D16" s="42"/>
      <c r="E16" s="48"/>
      <c r="F16" s="49">
        <f t="shared" si="4"/>
        <v>733.6</v>
      </c>
      <c r="G16" s="49">
        <f t="shared" si="4"/>
        <v>0</v>
      </c>
      <c r="H16" s="49">
        <f t="shared" si="4"/>
        <v>0</v>
      </c>
      <c r="I16" s="49">
        <f t="shared" si="4"/>
        <v>733.6</v>
      </c>
      <c r="J16" s="85">
        <f t="shared" si="4"/>
        <v>0</v>
      </c>
      <c r="K16" s="49">
        <f>K23+K30+K38</f>
        <v>0</v>
      </c>
      <c r="L16" s="49">
        <f>L23+L30+L38</f>
        <v>0</v>
      </c>
      <c r="M16" s="49">
        <f t="shared" si="4"/>
        <v>0</v>
      </c>
    </row>
    <row r="17" spans="1:13" s="6" customFormat="1" ht="33" customHeight="1">
      <c r="A17" s="494"/>
      <c r="B17" s="496"/>
      <c r="C17" s="46" t="s">
        <v>118</v>
      </c>
      <c r="D17" s="50"/>
      <c r="E17" s="50" t="s">
        <v>161</v>
      </c>
      <c r="F17" s="47">
        <f t="shared" si="4"/>
        <v>177977.78809000002</v>
      </c>
      <c r="G17" s="47">
        <f t="shared" si="4"/>
        <v>29569.14439</v>
      </c>
      <c r="H17" s="47">
        <f t="shared" si="4"/>
        <v>37719.00602</v>
      </c>
      <c r="I17" s="47">
        <f t="shared" si="4"/>
        <v>55143.78768</v>
      </c>
      <c r="J17" s="84">
        <f t="shared" si="4"/>
        <v>24323.65</v>
      </c>
      <c r="K17" s="47">
        <f t="shared" si="4"/>
        <v>31222.2</v>
      </c>
      <c r="L17" s="47">
        <f t="shared" si="4"/>
        <v>0</v>
      </c>
      <c r="M17" s="47">
        <f t="shared" si="4"/>
        <v>0</v>
      </c>
    </row>
    <row r="18" spans="1:13" s="5" customFormat="1" ht="31.5" customHeight="1">
      <c r="A18" s="494"/>
      <c r="B18" s="496"/>
      <c r="C18" s="45" t="s">
        <v>119</v>
      </c>
      <c r="D18" s="48"/>
      <c r="E18" s="48"/>
      <c r="F18" s="49">
        <f aca="true" t="shared" si="5" ref="F18:M21">F25+F33+F40</f>
        <v>1621.638</v>
      </c>
      <c r="G18" s="49">
        <f t="shared" si="5"/>
        <v>628.169</v>
      </c>
      <c r="H18" s="49">
        <f t="shared" si="5"/>
        <v>357.9</v>
      </c>
      <c r="I18" s="49">
        <f t="shared" si="5"/>
        <v>635.569</v>
      </c>
      <c r="J18" s="85">
        <f t="shared" si="5"/>
        <v>0</v>
      </c>
      <c r="K18" s="49">
        <f t="shared" si="5"/>
        <v>0</v>
      </c>
      <c r="L18" s="49">
        <f t="shared" si="5"/>
        <v>0</v>
      </c>
      <c r="M18" s="49">
        <f t="shared" si="5"/>
        <v>0</v>
      </c>
    </row>
    <row r="19" spans="1:13" s="5" customFormat="1" ht="37.5">
      <c r="A19" s="494"/>
      <c r="B19" s="496"/>
      <c r="C19" s="45" t="s">
        <v>120</v>
      </c>
      <c r="D19" s="48"/>
      <c r="E19" s="48"/>
      <c r="F19" s="49">
        <f>F27+F35+F42</f>
        <v>0</v>
      </c>
      <c r="G19" s="49">
        <f>G26+G34+G41</f>
        <v>0</v>
      </c>
      <c r="H19" s="49">
        <f t="shared" si="5"/>
        <v>0</v>
      </c>
      <c r="I19" s="49">
        <f t="shared" si="5"/>
        <v>0</v>
      </c>
      <c r="J19" s="85">
        <f t="shared" si="5"/>
        <v>0</v>
      </c>
      <c r="K19" s="49">
        <f t="shared" si="5"/>
        <v>0</v>
      </c>
      <c r="L19" s="49">
        <f t="shared" si="5"/>
        <v>0</v>
      </c>
      <c r="M19" s="49">
        <f t="shared" si="5"/>
        <v>0</v>
      </c>
    </row>
    <row r="20" spans="1:13" s="5" customFormat="1" ht="37.5">
      <c r="A20" s="494"/>
      <c r="B20" s="496"/>
      <c r="C20" s="45" t="s">
        <v>192</v>
      </c>
      <c r="D20" s="48"/>
      <c r="E20" s="48"/>
      <c r="F20" s="49">
        <f>F27+F35+F42</f>
        <v>0</v>
      </c>
      <c r="G20" s="49">
        <f t="shared" si="5"/>
        <v>0</v>
      </c>
      <c r="H20" s="49">
        <f t="shared" si="5"/>
        <v>0</v>
      </c>
      <c r="I20" s="49">
        <f t="shared" si="5"/>
        <v>0</v>
      </c>
      <c r="J20" s="85">
        <f t="shared" si="5"/>
        <v>0</v>
      </c>
      <c r="K20" s="49">
        <f t="shared" si="5"/>
        <v>0</v>
      </c>
      <c r="L20" s="49">
        <f t="shared" si="5"/>
        <v>0</v>
      </c>
      <c r="M20" s="49">
        <f t="shared" si="5"/>
        <v>0</v>
      </c>
    </row>
    <row r="21" spans="1:13" s="5" customFormat="1" ht="37.5">
      <c r="A21" s="494"/>
      <c r="B21" s="496"/>
      <c r="C21" s="45" t="s">
        <v>178</v>
      </c>
      <c r="D21" s="48"/>
      <c r="E21" s="48"/>
      <c r="F21" s="49">
        <f>F28+F36+F43</f>
        <v>0</v>
      </c>
      <c r="G21" s="49">
        <f t="shared" si="5"/>
        <v>0</v>
      </c>
      <c r="H21" s="49">
        <f t="shared" si="5"/>
        <v>0</v>
      </c>
      <c r="I21" s="49">
        <f t="shared" si="5"/>
        <v>0</v>
      </c>
      <c r="J21" s="85">
        <f t="shared" si="5"/>
        <v>0</v>
      </c>
      <c r="K21" s="49">
        <f t="shared" si="5"/>
        <v>0</v>
      </c>
      <c r="L21" s="49">
        <f t="shared" si="5"/>
        <v>0</v>
      </c>
      <c r="M21" s="49">
        <f t="shared" si="5"/>
        <v>0</v>
      </c>
    </row>
    <row r="22" spans="1:13" s="6" customFormat="1" ht="27.75" customHeight="1">
      <c r="A22" s="503" t="s">
        <v>121</v>
      </c>
      <c r="B22" s="488" t="s">
        <v>180</v>
      </c>
      <c r="C22" s="46" t="s">
        <v>116</v>
      </c>
      <c r="D22" s="52"/>
      <c r="E22" s="50"/>
      <c r="F22" s="47">
        <f>G22+H22+I22+J22+K22+L22+M22</f>
        <v>14557.06539</v>
      </c>
      <c r="G22" s="47">
        <f aca="true" t="shared" si="6" ref="G22:M22">G24</f>
        <v>2985.94939</v>
      </c>
      <c r="H22" s="47">
        <f t="shared" si="6"/>
        <v>3481.116</v>
      </c>
      <c r="I22" s="47">
        <f t="shared" si="6"/>
        <v>3090</v>
      </c>
      <c r="J22" s="84">
        <f t="shared" si="6"/>
        <v>2000</v>
      </c>
      <c r="K22" s="47">
        <f t="shared" si="6"/>
        <v>3000</v>
      </c>
      <c r="L22" s="47">
        <f t="shared" si="6"/>
        <v>0</v>
      </c>
      <c r="M22" s="47">
        <f t="shared" si="6"/>
        <v>0</v>
      </c>
    </row>
    <row r="23" spans="1:13" s="5" customFormat="1" ht="37.5">
      <c r="A23" s="503"/>
      <c r="B23" s="488"/>
      <c r="C23" s="45" t="s">
        <v>117</v>
      </c>
      <c r="D23" s="42"/>
      <c r="E23" s="48"/>
      <c r="F23" s="49">
        <f>SUM(G23:M23)</f>
        <v>0</v>
      </c>
      <c r="G23" s="49">
        <f>'приложение 8'!D47</f>
        <v>0</v>
      </c>
      <c r="H23" s="49">
        <f>'приложение 8'!E47</f>
        <v>0</v>
      </c>
      <c r="I23" s="49">
        <f>'приложение 8'!F47</f>
        <v>0</v>
      </c>
      <c r="J23" s="85">
        <f>'приложение 8'!G47</f>
        <v>0</v>
      </c>
      <c r="K23" s="49">
        <f>'приложение 8'!J47</f>
        <v>0</v>
      </c>
      <c r="L23" s="49">
        <f>'приложение 8'!J47</f>
        <v>0</v>
      </c>
      <c r="M23" s="49">
        <f>'приложение 8'!K47</f>
        <v>0</v>
      </c>
    </row>
    <row r="24" spans="1:13" s="6" customFormat="1" ht="27" customHeight="1">
      <c r="A24" s="503"/>
      <c r="B24" s="488"/>
      <c r="C24" s="46" t="s">
        <v>118</v>
      </c>
      <c r="D24" s="50" t="s">
        <v>109</v>
      </c>
      <c r="E24" s="50" t="s">
        <v>161</v>
      </c>
      <c r="F24" s="47">
        <f>G24+H24+I24+J24+K24+L24+M24</f>
        <v>14557.06539</v>
      </c>
      <c r="G24" s="47">
        <f>'приложение 8'!D48</f>
        <v>2985.94939</v>
      </c>
      <c r="H24" s="47">
        <f>'приложение 8'!E48</f>
        <v>3481.116</v>
      </c>
      <c r="I24" s="47">
        <f>'приложение 8'!F48</f>
        <v>3090</v>
      </c>
      <c r="J24" s="84">
        <f>'приложение 8'!G48</f>
        <v>2000</v>
      </c>
      <c r="K24" s="47">
        <f>'приложение 8'!I48</f>
        <v>3000</v>
      </c>
      <c r="L24" s="47">
        <f>'приложение 8'!J48</f>
        <v>0</v>
      </c>
      <c r="M24" s="47">
        <f>'приложение 8'!K48</f>
        <v>0</v>
      </c>
    </row>
    <row r="25" spans="1:13" s="5" customFormat="1" ht="21" customHeight="1">
      <c r="A25" s="503"/>
      <c r="B25" s="488"/>
      <c r="C25" s="45" t="s">
        <v>119</v>
      </c>
      <c r="D25" s="48"/>
      <c r="E25" s="48"/>
      <c r="F25" s="49">
        <f aca="true" t="shared" si="7" ref="F25:F36">SUM(G25:M25)</f>
        <v>0</v>
      </c>
      <c r="G25" s="49">
        <f>'приложение 8'!D49</f>
        <v>0</v>
      </c>
      <c r="H25" s="49">
        <f>'приложение 8'!E49</f>
        <v>0</v>
      </c>
      <c r="I25" s="49">
        <f>'приложение 8'!F49</f>
        <v>0</v>
      </c>
      <c r="J25" s="85">
        <f>'приложение 8'!G49</f>
        <v>0</v>
      </c>
      <c r="K25" s="49">
        <f>'приложение 8'!J49</f>
        <v>0</v>
      </c>
      <c r="L25" s="49">
        <f>'приложение 8'!J49</f>
        <v>0</v>
      </c>
      <c r="M25" s="49">
        <f>'приложение 8'!K49</f>
        <v>0</v>
      </c>
    </row>
    <row r="26" spans="1:13" s="5" customFormat="1" ht="37.5">
      <c r="A26" s="503"/>
      <c r="B26" s="488"/>
      <c r="C26" s="45" t="s">
        <v>120</v>
      </c>
      <c r="D26" s="48"/>
      <c r="E26" s="48"/>
      <c r="F26" s="49">
        <f t="shared" si="7"/>
        <v>0</v>
      </c>
      <c r="G26" s="49">
        <f>'приложение 8'!D50</f>
        <v>0</v>
      </c>
      <c r="H26" s="49">
        <f>'приложение 8'!E50</f>
        <v>0</v>
      </c>
      <c r="I26" s="49">
        <f>'приложение 8'!F50</f>
        <v>0</v>
      </c>
      <c r="J26" s="85">
        <f>'приложение 8'!G50</f>
        <v>0</v>
      </c>
      <c r="K26" s="49">
        <f>'приложение 8'!J50</f>
        <v>0</v>
      </c>
      <c r="L26" s="49">
        <f>'приложение 8'!J50</f>
        <v>0</v>
      </c>
      <c r="M26" s="49">
        <f>'приложение 8'!K50</f>
        <v>0</v>
      </c>
    </row>
    <row r="27" spans="1:13" s="5" customFormat="1" ht="36" customHeight="1">
      <c r="A27" s="503"/>
      <c r="B27" s="488"/>
      <c r="C27" s="45" t="s">
        <v>192</v>
      </c>
      <c r="D27" s="48"/>
      <c r="E27" s="48"/>
      <c r="F27" s="49">
        <f t="shared" si="7"/>
        <v>0</v>
      </c>
      <c r="G27" s="49">
        <f>'приложение 8'!D50</f>
        <v>0</v>
      </c>
      <c r="H27" s="49">
        <f>'приложение 8'!E50</f>
        <v>0</v>
      </c>
      <c r="I27" s="49">
        <f>'приложение 8'!F50</f>
        <v>0</v>
      </c>
      <c r="J27" s="85">
        <f>'приложение 8'!G50</f>
        <v>0</v>
      </c>
      <c r="K27" s="49">
        <f>'приложение 8'!J50</f>
        <v>0</v>
      </c>
      <c r="L27" s="49">
        <f>'приложение 8'!J50</f>
        <v>0</v>
      </c>
      <c r="M27" s="49">
        <f>'приложение 8'!K50</f>
        <v>0</v>
      </c>
    </row>
    <row r="28" spans="1:13" s="5" customFormat="1" ht="37.5">
      <c r="A28" s="503"/>
      <c r="B28" s="488"/>
      <c r="C28" s="45" t="s">
        <v>178</v>
      </c>
      <c r="D28" s="48"/>
      <c r="E28" s="48"/>
      <c r="F28" s="49">
        <f t="shared" si="7"/>
        <v>0</v>
      </c>
      <c r="G28" s="49"/>
      <c r="H28" s="49"/>
      <c r="I28" s="49"/>
      <c r="J28" s="85"/>
      <c r="K28" s="49"/>
      <c r="L28" s="49"/>
      <c r="M28" s="49"/>
    </row>
    <row r="29" spans="1:13" s="6" customFormat="1" ht="33.75" customHeight="1">
      <c r="A29" s="503" t="s">
        <v>123</v>
      </c>
      <c r="B29" s="488" t="s">
        <v>181</v>
      </c>
      <c r="C29" s="46" t="s">
        <v>116</v>
      </c>
      <c r="D29" s="50"/>
      <c r="E29" s="50"/>
      <c r="F29" s="47">
        <f>SUM(G29:M29)</f>
        <v>157052.1227</v>
      </c>
      <c r="G29" s="47">
        <f aca="true" t="shared" si="8" ref="G29:M29">G30+G31</f>
        <v>25138.195</v>
      </c>
      <c r="H29" s="47">
        <f t="shared" si="8"/>
        <v>32792.89002</v>
      </c>
      <c r="I29" s="47">
        <f t="shared" si="8"/>
        <v>51247.38768</v>
      </c>
      <c r="J29" s="84">
        <f t="shared" si="8"/>
        <v>22323.65</v>
      </c>
      <c r="K29" s="47">
        <f t="shared" si="8"/>
        <v>25550</v>
      </c>
      <c r="L29" s="47">
        <f t="shared" si="8"/>
        <v>0</v>
      </c>
      <c r="M29" s="47">
        <f t="shared" si="8"/>
        <v>0</v>
      </c>
    </row>
    <row r="30" spans="1:13" s="5" customFormat="1" ht="37.5">
      <c r="A30" s="503"/>
      <c r="B30" s="488"/>
      <c r="C30" s="45" t="s">
        <v>117</v>
      </c>
      <c r="D30" s="42"/>
      <c r="E30" s="48"/>
      <c r="F30" s="49">
        <f t="shared" si="7"/>
        <v>733.6</v>
      </c>
      <c r="G30" s="49">
        <f>'приложение 8'!D61</f>
        <v>0</v>
      </c>
      <c r="H30" s="49">
        <f>'приложение 8'!E61</f>
        <v>0</v>
      </c>
      <c r="I30" s="49">
        <f>'приложение 8'!F61</f>
        <v>733.6</v>
      </c>
      <c r="J30" s="85">
        <f>'приложение 8'!G61</f>
        <v>0</v>
      </c>
      <c r="K30" s="49">
        <f>'приложение 8'!J61</f>
        <v>0</v>
      </c>
      <c r="L30" s="49">
        <f>'приложение 8'!J61</f>
        <v>0</v>
      </c>
      <c r="M30" s="49">
        <f>'приложение 8'!K61</f>
        <v>0</v>
      </c>
    </row>
    <row r="31" spans="1:13" s="6" customFormat="1" ht="22.5" customHeight="1">
      <c r="A31" s="503"/>
      <c r="B31" s="488"/>
      <c r="C31" s="46" t="s">
        <v>118</v>
      </c>
      <c r="D31" s="50" t="s">
        <v>109</v>
      </c>
      <c r="E31" s="50" t="s">
        <v>161</v>
      </c>
      <c r="F31" s="47">
        <f t="shared" si="7"/>
        <v>156318.5227</v>
      </c>
      <c r="G31" s="47">
        <f>'приложение 8'!D62</f>
        <v>25138.195</v>
      </c>
      <c r="H31" s="47">
        <f>'приложение 8'!E62</f>
        <v>32792.89002</v>
      </c>
      <c r="I31" s="47">
        <f>'приложение 8'!F62</f>
        <v>50513.78768</v>
      </c>
      <c r="J31" s="84">
        <f>'приложение 8'!G62</f>
        <v>22323.65</v>
      </c>
      <c r="K31" s="47">
        <f>'приложение 8'!I62</f>
        <v>25550</v>
      </c>
      <c r="L31" s="47">
        <f>'приложение 8'!J62</f>
        <v>0</v>
      </c>
      <c r="M31" s="47">
        <f>'приложение 8'!K62</f>
        <v>0</v>
      </c>
    </row>
    <row r="32" spans="1:13" s="5" customFormat="1" ht="27.75" customHeight="1" hidden="1">
      <c r="A32" s="503"/>
      <c r="B32" s="488"/>
      <c r="C32" s="45" t="s">
        <v>118</v>
      </c>
      <c r="D32" s="48" t="s">
        <v>109</v>
      </c>
      <c r="E32" s="48" t="s">
        <v>154</v>
      </c>
      <c r="F32" s="49">
        <f t="shared" si="7"/>
        <v>77910</v>
      </c>
      <c r="G32" s="49">
        <v>11130</v>
      </c>
      <c r="H32" s="49">
        <v>11130</v>
      </c>
      <c r="I32" s="49">
        <v>11130</v>
      </c>
      <c r="J32" s="85">
        <v>11130</v>
      </c>
      <c r="K32" s="49">
        <v>11130</v>
      </c>
      <c r="L32" s="49">
        <v>11130</v>
      </c>
      <c r="M32" s="49">
        <v>11130</v>
      </c>
    </row>
    <row r="33" spans="1:13" s="5" customFormat="1" ht="27.75" customHeight="1">
      <c r="A33" s="503"/>
      <c r="B33" s="488"/>
      <c r="C33" s="45" t="s">
        <v>119</v>
      </c>
      <c r="D33" s="48"/>
      <c r="E33" s="48"/>
      <c r="F33" s="49">
        <f t="shared" si="7"/>
        <v>0</v>
      </c>
      <c r="G33" s="49">
        <f>'приложение 8'!D63</f>
        <v>0</v>
      </c>
      <c r="H33" s="49">
        <f>'приложение 8'!E63</f>
        <v>0</v>
      </c>
      <c r="I33" s="49">
        <f>'приложение 8'!F63</f>
        <v>0</v>
      </c>
      <c r="J33" s="85">
        <f>'приложение 8'!G63</f>
        <v>0</v>
      </c>
      <c r="K33" s="49">
        <f>'приложение 8'!J63</f>
        <v>0</v>
      </c>
      <c r="L33" s="49">
        <f>'приложение 8'!J63</f>
        <v>0</v>
      </c>
      <c r="M33" s="49">
        <f>'приложение 8'!K63</f>
        <v>0</v>
      </c>
    </row>
    <row r="34" spans="1:13" s="5" customFormat="1" ht="35.25" customHeight="1">
      <c r="A34" s="503"/>
      <c r="B34" s="488"/>
      <c r="C34" s="45" t="s">
        <v>192</v>
      </c>
      <c r="D34" s="48"/>
      <c r="E34" s="48"/>
      <c r="F34" s="49">
        <f t="shared" si="7"/>
        <v>0</v>
      </c>
      <c r="G34" s="49">
        <f>'приложение 8'!D64</f>
        <v>0</v>
      </c>
      <c r="H34" s="49">
        <f>'приложение 8'!E64</f>
        <v>0</v>
      </c>
      <c r="I34" s="49">
        <f>'приложение 8'!F64</f>
        <v>0</v>
      </c>
      <c r="J34" s="85">
        <f>'приложение 8'!G64</f>
        <v>0</v>
      </c>
      <c r="K34" s="49">
        <f>'приложение 8'!J64</f>
        <v>0</v>
      </c>
      <c r="L34" s="49">
        <f>'приложение 8'!J64</f>
        <v>0</v>
      </c>
      <c r="M34" s="49">
        <f>'приложение 8'!K64</f>
        <v>0</v>
      </c>
    </row>
    <row r="35" spans="1:13" s="5" customFormat="1" ht="37.5">
      <c r="A35" s="503"/>
      <c r="B35" s="488"/>
      <c r="C35" s="45" t="s">
        <v>192</v>
      </c>
      <c r="D35" s="48"/>
      <c r="E35" s="48"/>
      <c r="F35" s="49">
        <f t="shared" si="7"/>
        <v>0</v>
      </c>
      <c r="G35" s="49">
        <f>'приложение 8'!D64</f>
        <v>0</v>
      </c>
      <c r="H35" s="49">
        <f>'приложение 8'!E64</f>
        <v>0</v>
      </c>
      <c r="I35" s="49">
        <f>'приложение 8'!F64</f>
        <v>0</v>
      </c>
      <c r="J35" s="85">
        <f>'приложение 8'!G64</f>
        <v>0</v>
      </c>
      <c r="K35" s="49">
        <f>'приложение 8'!J64</f>
        <v>0</v>
      </c>
      <c r="L35" s="49">
        <f>'приложение 8'!J64</f>
        <v>0</v>
      </c>
      <c r="M35" s="49">
        <f>'приложение 8'!K64</f>
        <v>0</v>
      </c>
    </row>
    <row r="36" spans="1:13" s="5" customFormat="1" ht="37.5">
      <c r="A36" s="503"/>
      <c r="B36" s="488"/>
      <c r="C36" s="45" t="s">
        <v>178</v>
      </c>
      <c r="D36" s="48"/>
      <c r="E36" s="48"/>
      <c r="F36" s="49">
        <f t="shared" si="7"/>
        <v>0</v>
      </c>
      <c r="G36" s="49"/>
      <c r="H36" s="49"/>
      <c r="I36" s="49"/>
      <c r="J36" s="85"/>
      <c r="K36" s="49"/>
      <c r="L36" s="49"/>
      <c r="M36" s="49"/>
    </row>
    <row r="37" spans="1:13" s="6" customFormat="1" ht="31.5" customHeight="1">
      <c r="A37" s="503" t="s">
        <v>124</v>
      </c>
      <c r="B37" s="488" t="s">
        <v>182</v>
      </c>
      <c r="C37" s="46" t="s">
        <v>116</v>
      </c>
      <c r="D37" s="52"/>
      <c r="E37" s="50"/>
      <c r="F37" s="47">
        <f aca="true" t="shared" si="9" ref="F37:M37">F38+F39+F40+F41+F42+F43</f>
        <v>8723.838</v>
      </c>
      <c r="G37" s="47">
        <f t="shared" si="9"/>
        <v>2073.169</v>
      </c>
      <c r="H37" s="47">
        <f t="shared" si="9"/>
        <v>1802.9</v>
      </c>
      <c r="I37" s="47">
        <f t="shared" si="9"/>
        <v>2175.569</v>
      </c>
      <c r="J37" s="84">
        <f t="shared" si="9"/>
        <v>0</v>
      </c>
      <c r="K37" s="47">
        <f>K38+K39+K40+K41+K42+K43</f>
        <v>2672.2</v>
      </c>
      <c r="L37" s="47">
        <f>L38+L39+L40+L41+L42+L43</f>
        <v>0</v>
      </c>
      <c r="M37" s="47">
        <f t="shared" si="9"/>
        <v>0</v>
      </c>
    </row>
    <row r="38" spans="1:13" s="5" customFormat="1" ht="37.5">
      <c r="A38" s="503"/>
      <c r="B38" s="488"/>
      <c r="C38" s="45" t="s">
        <v>117</v>
      </c>
      <c r="D38" s="42"/>
      <c r="E38" s="48"/>
      <c r="F38" s="49">
        <f aca="true" t="shared" si="10" ref="F38:F43">SUM(G38:M38)</f>
        <v>0</v>
      </c>
      <c r="G38" s="49">
        <f>'приложение 8'!D98</f>
        <v>0</v>
      </c>
      <c r="H38" s="49">
        <f>'приложение 8'!E98</f>
        <v>0</v>
      </c>
      <c r="I38" s="49">
        <f>'приложение 8'!F98</f>
        <v>0</v>
      </c>
      <c r="J38" s="85">
        <f>'приложение 8'!G98</f>
        <v>0</v>
      </c>
      <c r="K38" s="49">
        <f>'приложение 8'!J98</f>
        <v>0</v>
      </c>
      <c r="L38" s="49">
        <f>'приложение 8'!J98</f>
        <v>0</v>
      </c>
      <c r="M38" s="49">
        <f>'приложение 8'!K98</f>
        <v>0</v>
      </c>
    </row>
    <row r="39" spans="1:13" s="6" customFormat="1" ht="31.5" customHeight="1">
      <c r="A39" s="503"/>
      <c r="B39" s="488"/>
      <c r="C39" s="46" t="s">
        <v>118</v>
      </c>
      <c r="D39" s="50" t="s">
        <v>109</v>
      </c>
      <c r="E39" s="53" t="s">
        <v>161</v>
      </c>
      <c r="F39" s="47">
        <f t="shared" si="10"/>
        <v>7102.2</v>
      </c>
      <c r="G39" s="47">
        <f>'приложение 8'!D99</f>
        <v>1445</v>
      </c>
      <c r="H39" s="47">
        <f>'приложение 8'!E99</f>
        <v>1445</v>
      </c>
      <c r="I39" s="47">
        <f>'приложение 8'!F99</f>
        <v>1540</v>
      </c>
      <c r="J39" s="84">
        <f>'приложение 8'!G99</f>
        <v>0</v>
      </c>
      <c r="K39" s="47">
        <f>'приложение 8'!I99</f>
        <v>2672.2</v>
      </c>
      <c r="L39" s="47">
        <f>'приложение 8'!J99</f>
        <v>0</v>
      </c>
      <c r="M39" s="47">
        <f>'приложение 8'!K99</f>
        <v>0</v>
      </c>
    </row>
    <row r="40" spans="1:13" s="5" customFormat="1" ht="24.75" customHeight="1">
      <c r="A40" s="503"/>
      <c r="B40" s="488"/>
      <c r="C40" s="45" t="s">
        <v>119</v>
      </c>
      <c r="D40" s="48"/>
      <c r="E40" s="48"/>
      <c r="F40" s="49">
        <f t="shared" si="10"/>
        <v>1621.638</v>
      </c>
      <c r="G40" s="49">
        <f>'приложение 8'!D100</f>
        <v>628.169</v>
      </c>
      <c r="H40" s="49">
        <f>'приложение 8'!E100</f>
        <v>357.9</v>
      </c>
      <c r="I40" s="49">
        <f>'приложение 8'!F100</f>
        <v>635.569</v>
      </c>
      <c r="J40" s="85">
        <f>'приложение 8'!G100</f>
        <v>0</v>
      </c>
      <c r="K40" s="49">
        <v>0</v>
      </c>
      <c r="L40" s="49">
        <v>0</v>
      </c>
      <c r="M40" s="49">
        <v>0</v>
      </c>
    </row>
    <row r="41" spans="1:13" s="5" customFormat="1" ht="37.5">
      <c r="A41" s="503"/>
      <c r="B41" s="488"/>
      <c r="C41" s="45" t="s">
        <v>120</v>
      </c>
      <c r="D41" s="48"/>
      <c r="E41" s="48"/>
      <c r="F41" s="49">
        <f t="shared" si="10"/>
        <v>0</v>
      </c>
      <c r="G41" s="49">
        <f>'приложение 8'!D101</f>
        <v>0</v>
      </c>
      <c r="H41" s="49">
        <f>'приложение 8'!E101</f>
        <v>0</v>
      </c>
      <c r="I41" s="49">
        <f>'приложение 8'!F101</f>
        <v>0</v>
      </c>
      <c r="J41" s="85">
        <f>'приложение 8'!G101</f>
        <v>0</v>
      </c>
      <c r="K41" s="49">
        <f>'приложение 8'!J101</f>
        <v>0</v>
      </c>
      <c r="L41" s="49">
        <f>'приложение 8'!J101</f>
        <v>0</v>
      </c>
      <c r="M41" s="49">
        <f>'приложение 8'!K101</f>
        <v>0</v>
      </c>
    </row>
    <row r="42" spans="1:13" s="5" customFormat="1" ht="34.5" customHeight="1">
      <c r="A42" s="503"/>
      <c r="B42" s="488"/>
      <c r="C42" s="45" t="s">
        <v>192</v>
      </c>
      <c r="D42" s="48"/>
      <c r="E42" s="48"/>
      <c r="F42" s="49">
        <f t="shared" si="10"/>
        <v>0</v>
      </c>
      <c r="G42" s="49">
        <f>'приложение 8'!D102</f>
        <v>0</v>
      </c>
      <c r="H42" s="49">
        <f>'приложение 8'!E102</f>
        <v>0</v>
      </c>
      <c r="I42" s="49">
        <f>'приложение 8'!F102</f>
        <v>0</v>
      </c>
      <c r="J42" s="85">
        <f>'приложение 8'!G102</f>
        <v>0</v>
      </c>
      <c r="K42" s="49">
        <f>'приложение 8'!J102</f>
        <v>0</v>
      </c>
      <c r="L42" s="49">
        <f>'приложение 8'!J102</f>
        <v>0</v>
      </c>
      <c r="M42" s="49">
        <f>'приложение 8'!K102</f>
        <v>0</v>
      </c>
    </row>
    <row r="43" spans="1:13" s="5" customFormat="1" ht="37.5">
      <c r="A43" s="503"/>
      <c r="B43" s="488"/>
      <c r="C43" s="45" t="s">
        <v>178</v>
      </c>
      <c r="D43" s="48"/>
      <c r="E43" s="48"/>
      <c r="F43" s="49">
        <f t="shared" si="10"/>
        <v>0</v>
      </c>
      <c r="G43" s="49"/>
      <c r="H43" s="49"/>
      <c r="I43" s="49"/>
      <c r="J43" s="85"/>
      <c r="K43" s="49"/>
      <c r="L43" s="49"/>
      <c r="M43" s="49"/>
    </row>
    <row r="44" spans="1:13" s="5" customFormat="1" ht="33.75" customHeight="1">
      <c r="A44" s="494" t="s">
        <v>60</v>
      </c>
      <c r="B44" s="496" t="s">
        <v>61</v>
      </c>
      <c r="C44" s="45" t="s">
        <v>116</v>
      </c>
      <c r="D44" s="52"/>
      <c r="E44" s="50"/>
      <c r="F44" s="72">
        <f>G44+H44+I44+J44+K44+L44+M44</f>
        <v>5788092.974119999</v>
      </c>
      <c r="G44" s="47">
        <f aca="true" t="shared" si="11" ref="G44:M46">G51+G61+G70</f>
        <v>711509.63934</v>
      </c>
      <c r="H44" s="47">
        <f t="shared" si="11"/>
        <v>700701.34948</v>
      </c>
      <c r="I44" s="47">
        <f>I51+I61+I70</f>
        <v>831217.9002500001</v>
      </c>
      <c r="J44" s="84">
        <f t="shared" si="11"/>
        <v>980947.08505</v>
      </c>
      <c r="K44" s="47">
        <f>K51+K61+K70</f>
        <v>980289.7700000001</v>
      </c>
      <c r="L44" s="47">
        <f>L51+L61+L70</f>
        <v>789323.43</v>
      </c>
      <c r="M44" s="47">
        <f t="shared" si="11"/>
        <v>794103.8</v>
      </c>
    </row>
    <row r="45" spans="1:13" s="5" customFormat="1" ht="37.5">
      <c r="A45" s="494"/>
      <c r="B45" s="496"/>
      <c r="C45" s="45" t="s">
        <v>117</v>
      </c>
      <c r="D45" s="52"/>
      <c r="E45" s="50"/>
      <c r="F45" s="47">
        <f>F52+F62+F71</f>
        <v>67326.046</v>
      </c>
      <c r="G45" s="47">
        <f>G52+G62+G71</f>
        <v>15892.484</v>
      </c>
      <c r="H45" s="47">
        <f t="shared" si="11"/>
        <v>7115.062</v>
      </c>
      <c r="I45" s="47">
        <f t="shared" si="11"/>
        <v>6508.5</v>
      </c>
      <c r="J45" s="84">
        <f t="shared" si="11"/>
        <v>37810</v>
      </c>
      <c r="K45" s="47">
        <f t="shared" si="11"/>
        <v>49527.4</v>
      </c>
      <c r="L45" s="47">
        <f t="shared" si="11"/>
        <v>0</v>
      </c>
      <c r="M45" s="47">
        <f t="shared" si="11"/>
        <v>0</v>
      </c>
    </row>
    <row r="46" spans="1:13" s="5" customFormat="1" ht="33.75" customHeight="1">
      <c r="A46" s="494"/>
      <c r="B46" s="496"/>
      <c r="C46" s="45" t="s">
        <v>118</v>
      </c>
      <c r="D46" s="50" t="s">
        <v>109</v>
      </c>
      <c r="E46" s="53" t="s">
        <v>162</v>
      </c>
      <c r="F46" s="72">
        <f>G46+H46+I46+J46+K46+L46+M46</f>
        <v>5670421.842119999</v>
      </c>
      <c r="G46" s="47">
        <f>G53+G63+G72</f>
        <v>695090.2163399999</v>
      </c>
      <c r="H46" s="47">
        <f t="shared" si="11"/>
        <v>693420.5404799999</v>
      </c>
      <c r="I46" s="47">
        <f t="shared" si="11"/>
        <v>824584.4002500001</v>
      </c>
      <c r="J46" s="84">
        <f t="shared" si="11"/>
        <v>943137.08505</v>
      </c>
      <c r="K46" s="47">
        <f t="shared" si="11"/>
        <v>930762.3700000001</v>
      </c>
      <c r="L46" s="47">
        <f t="shared" si="11"/>
        <v>789323.43</v>
      </c>
      <c r="M46" s="47">
        <f t="shared" si="11"/>
        <v>794103.8</v>
      </c>
    </row>
    <row r="47" spans="1:13" s="5" customFormat="1" ht="33.75" customHeight="1">
      <c r="A47" s="494"/>
      <c r="B47" s="496"/>
      <c r="C47" s="45" t="s">
        <v>119</v>
      </c>
      <c r="D47" s="50"/>
      <c r="E47" s="50"/>
      <c r="F47" s="47">
        <f>F57+F66+F73</f>
        <v>817.686</v>
      </c>
      <c r="G47" s="47">
        <f>G57+G73+G66</f>
        <v>526.939</v>
      </c>
      <c r="H47" s="47">
        <f>H57+H73+H66</f>
        <v>165.747</v>
      </c>
      <c r="I47" s="47">
        <f>I57+I73+I66</f>
        <v>125</v>
      </c>
      <c r="J47" s="84">
        <f>J57+J73+J66</f>
        <v>0</v>
      </c>
      <c r="K47" s="47">
        <v>0</v>
      </c>
      <c r="L47" s="47">
        <v>0</v>
      </c>
      <c r="M47" s="47">
        <v>0</v>
      </c>
    </row>
    <row r="48" spans="1:13" s="5" customFormat="1" ht="37.5">
      <c r="A48" s="494"/>
      <c r="B48" s="496"/>
      <c r="C48" s="45" t="s">
        <v>120</v>
      </c>
      <c r="D48" s="50"/>
      <c r="E48" s="50"/>
      <c r="F48" s="47"/>
      <c r="G48" s="47"/>
      <c r="H48" s="47"/>
      <c r="I48" s="47"/>
      <c r="J48" s="84"/>
      <c r="K48" s="47"/>
      <c r="L48" s="47"/>
      <c r="M48" s="47"/>
    </row>
    <row r="49" spans="1:13" s="5" customFormat="1" ht="36.75" customHeight="1">
      <c r="A49" s="494"/>
      <c r="B49" s="496"/>
      <c r="C49" s="45" t="s">
        <v>192</v>
      </c>
      <c r="D49" s="48"/>
      <c r="E49" s="48"/>
      <c r="F49" s="49"/>
      <c r="G49" s="49"/>
      <c r="H49" s="49"/>
      <c r="I49" s="49"/>
      <c r="J49" s="85"/>
      <c r="K49" s="49"/>
      <c r="L49" s="49"/>
      <c r="M49" s="49"/>
    </row>
    <row r="50" spans="1:13" s="5" customFormat="1" ht="37.5">
      <c r="A50" s="494"/>
      <c r="B50" s="496"/>
      <c r="C50" s="45" t="s">
        <v>178</v>
      </c>
      <c r="D50" s="48"/>
      <c r="E50" s="48"/>
      <c r="F50" s="49"/>
      <c r="G50" s="49"/>
      <c r="H50" s="49"/>
      <c r="I50" s="49"/>
      <c r="J50" s="85"/>
      <c r="K50" s="49"/>
      <c r="L50" s="49"/>
      <c r="M50" s="49"/>
    </row>
    <row r="51" spans="1:13" s="6" customFormat="1" ht="27.75" customHeight="1">
      <c r="A51" s="503" t="s">
        <v>125</v>
      </c>
      <c r="B51" s="488" t="s">
        <v>183</v>
      </c>
      <c r="C51" s="46" t="s">
        <v>116</v>
      </c>
      <c r="D51" s="52"/>
      <c r="E51" s="50"/>
      <c r="F51" s="72">
        <f>G51+H51+I51+J51+K51+L51+M51</f>
        <v>270894.25926</v>
      </c>
      <c r="G51" s="47">
        <f aca="true" t="shared" si="12" ref="G51:M51">G53</f>
        <v>46342.92969</v>
      </c>
      <c r="H51" s="47">
        <f t="shared" si="12"/>
        <v>15306.85225</v>
      </c>
      <c r="I51" s="47">
        <f t="shared" si="12"/>
        <v>11402.54132</v>
      </c>
      <c r="J51" s="84">
        <f t="shared" si="12"/>
        <v>79756.73599999999</v>
      </c>
      <c r="K51" s="47">
        <f t="shared" si="12"/>
        <v>68569.9</v>
      </c>
      <c r="L51" s="47">
        <f t="shared" si="12"/>
        <v>18288.9</v>
      </c>
      <c r="M51" s="47">
        <f t="shared" si="12"/>
        <v>31226.4</v>
      </c>
    </row>
    <row r="52" spans="1:13" s="5" customFormat="1" ht="37.5">
      <c r="A52" s="503"/>
      <c r="B52" s="488"/>
      <c r="C52" s="45" t="s">
        <v>117</v>
      </c>
      <c r="D52" s="42"/>
      <c r="E52" s="48"/>
      <c r="F52" s="49">
        <f aca="true" t="shared" si="13" ref="F52:F67">G52+H52+I52+J52+M52</f>
        <v>0</v>
      </c>
      <c r="G52" s="49">
        <f>'приложение 8'!D156</f>
        <v>0</v>
      </c>
      <c r="H52" s="49">
        <f>'приложение 8'!E156</f>
        <v>0</v>
      </c>
      <c r="I52" s="49">
        <f>'приложение 8'!F156</f>
        <v>0</v>
      </c>
      <c r="J52" s="85">
        <f>'приложение 8'!G156</f>
        <v>0</v>
      </c>
      <c r="K52" s="49">
        <f>'приложение 8'!J156</f>
        <v>0</v>
      </c>
      <c r="L52" s="49">
        <f>'приложение 8'!J156</f>
        <v>0</v>
      </c>
      <c r="M52" s="49">
        <f>'приложение 8'!K156</f>
        <v>0</v>
      </c>
    </row>
    <row r="53" spans="1:13" s="6" customFormat="1" ht="22.5" customHeight="1">
      <c r="A53" s="503"/>
      <c r="B53" s="488"/>
      <c r="C53" s="46" t="s">
        <v>118</v>
      </c>
      <c r="D53" s="50" t="s">
        <v>109</v>
      </c>
      <c r="E53" s="50" t="s">
        <v>162</v>
      </c>
      <c r="F53" s="72">
        <f>G53+H53+I53+J53+K53+L53+M53</f>
        <v>270894.25926</v>
      </c>
      <c r="G53" s="47">
        <f>'приложение 8'!D157</f>
        <v>46342.92969</v>
      </c>
      <c r="H53" s="47">
        <f>'приложение 8'!E157</f>
        <v>15306.85225</v>
      </c>
      <c r="I53" s="47">
        <f>'приложение 8'!F157</f>
        <v>11402.54132</v>
      </c>
      <c r="J53" s="84">
        <f>'приложение 8'!G157</f>
        <v>79756.73599999999</v>
      </c>
      <c r="K53" s="47">
        <f>'приложение 8'!I157</f>
        <v>68569.9</v>
      </c>
      <c r="L53" s="47">
        <f>'приложение 8'!J157</f>
        <v>18288.9</v>
      </c>
      <c r="M53" s="47">
        <f>'приложение 8'!K157</f>
        <v>31226.4</v>
      </c>
    </row>
    <row r="54" spans="1:13" s="5" customFormat="1" ht="27.75" customHeight="1" hidden="1">
      <c r="A54" s="503"/>
      <c r="B54" s="488"/>
      <c r="C54" s="45" t="s">
        <v>118</v>
      </c>
      <c r="D54" s="48" t="s">
        <v>109</v>
      </c>
      <c r="E54" s="48" t="s">
        <v>126</v>
      </c>
      <c r="F54" s="49">
        <f t="shared" si="13"/>
        <v>222018.65000000002</v>
      </c>
      <c r="G54" s="49">
        <v>27833.86</v>
      </c>
      <c r="H54" s="49">
        <v>46737.15</v>
      </c>
      <c r="I54" s="49">
        <v>47141.54</v>
      </c>
      <c r="J54" s="85">
        <v>49121.5</v>
      </c>
      <c r="K54" s="49">
        <v>51184.6</v>
      </c>
      <c r="L54" s="49">
        <v>51184.6</v>
      </c>
      <c r="M54" s="49">
        <v>51184.6</v>
      </c>
    </row>
    <row r="55" spans="1:13" s="5" customFormat="1" ht="27.75" customHeight="1" hidden="1">
      <c r="A55" s="503"/>
      <c r="B55" s="488"/>
      <c r="C55" s="45" t="s">
        <v>118</v>
      </c>
      <c r="D55" s="48" t="s">
        <v>109</v>
      </c>
      <c r="E55" s="48" t="s">
        <v>127</v>
      </c>
      <c r="F55" s="49">
        <f t="shared" si="13"/>
        <v>61585.6</v>
      </c>
      <c r="G55" s="49">
        <v>14903.3</v>
      </c>
      <c r="H55" s="49">
        <v>11153.1</v>
      </c>
      <c r="I55" s="49">
        <v>11359.3</v>
      </c>
      <c r="J55" s="85">
        <v>11836.4</v>
      </c>
      <c r="K55" s="49">
        <v>12333.5</v>
      </c>
      <c r="L55" s="49">
        <v>12333.5</v>
      </c>
      <c r="M55" s="49">
        <v>12333.5</v>
      </c>
    </row>
    <row r="56" spans="1:13" s="5" customFormat="1" ht="27.75" customHeight="1" hidden="1">
      <c r="A56" s="503"/>
      <c r="B56" s="488"/>
      <c r="C56" s="45" t="s">
        <v>118</v>
      </c>
      <c r="D56" s="48" t="s">
        <v>109</v>
      </c>
      <c r="E56" s="48" t="s">
        <v>155</v>
      </c>
      <c r="F56" s="49">
        <f t="shared" si="13"/>
        <v>725</v>
      </c>
      <c r="G56" s="49">
        <v>141.4</v>
      </c>
      <c r="H56" s="49">
        <v>141.4</v>
      </c>
      <c r="I56" s="49">
        <v>141.4</v>
      </c>
      <c r="J56" s="85">
        <v>147.3</v>
      </c>
      <c r="K56" s="49">
        <v>153.5</v>
      </c>
      <c r="L56" s="49">
        <v>153.5</v>
      </c>
      <c r="M56" s="49">
        <v>153.5</v>
      </c>
    </row>
    <row r="57" spans="1:13" s="5" customFormat="1" ht="27.75" customHeight="1">
      <c r="A57" s="503"/>
      <c r="B57" s="488"/>
      <c r="C57" s="45" t="s">
        <v>119</v>
      </c>
      <c r="D57" s="48"/>
      <c r="E57" s="48"/>
      <c r="F57" s="49">
        <f t="shared" si="13"/>
        <v>0</v>
      </c>
      <c r="G57" s="49">
        <f>'приложение 8'!D158</f>
        <v>0</v>
      </c>
      <c r="H57" s="49">
        <f>'приложение 8'!E158</f>
        <v>0</v>
      </c>
      <c r="I57" s="49">
        <f>'приложение 8'!F158</f>
        <v>0</v>
      </c>
      <c r="J57" s="85">
        <f>'приложение 8'!G158</f>
        <v>0</v>
      </c>
      <c r="K57" s="49">
        <f>'приложение 8'!J158</f>
        <v>0</v>
      </c>
      <c r="L57" s="49">
        <f>'приложение 8'!J158</f>
        <v>0</v>
      </c>
      <c r="M57" s="49">
        <f>'приложение 8'!K158</f>
        <v>0</v>
      </c>
    </row>
    <row r="58" spans="1:13" s="5" customFormat="1" ht="37.5">
      <c r="A58" s="503"/>
      <c r="B58" s="488"/>
      <c r="C58" s="45" t="s">
        <v>120</v>
      </c>
      <c r="D58" s="48"/>
      <c r="E58" s="48"/>
      <c r="F58" s="49">
        <f t="shared" si="13"/>
        <v>0</v>
      </c>
      <c r="G58" s="49">
        <f>'приложение 8'!D159</f>
        <v>0</v>
      </c>
      <c r="H58" s="49">
        <f>'приложение 8'!E159</f>
        <v>0</v>
      </c>
      <c r="I58" s="49">
        <f>'приложение 8'!F159</f>
        <v>0</v>
      </c>
      <c r="J58" s="85">
        <f>'приложение 8'!G159</f>
        <v>0</v>
      </c>
      <c r="K58" s="49">
        <f>'приложение 8'!J159</f>
        <v>0</v>
      </c>
      <c r="L58" s="49">
        <f>'приложение 8'!J159</f>
        <v>0</v>
      </c>
      <c r="M58" s="49">
        <f>'приложение 8'!K159</f>
        <v>0</v>
      </c>
    </row>
    <row r="59" spans="1:13" s="5" customFormat="1" ht="36" customHeight="1">
      <c r="A59" s="503"/>
      <c r="B59" s="488"/>
      <c r="C59" s="45" t="s">
        <v>192</v>
      </c>
      <c r="D59" s="48"/>
      <c r="E59" s="48"/>
      <c r="F59" s="49">
        <f t="shared" si="13"/>
        <v>0</v>
      </c>
      <c r="G59" s="49"/>
      <c r="H59" s="49"/>
      <c r="I59" s="49"/>
      <c r="J59" s="85"/>
      <c r="K59" s="49"/>
      <c r="L59" s="49"/>
      <c r="M59" s="49"/>
    </row>
    <row r="60" spans="1:13" s="5" customFormat="1" ht="37.5">
      <c r="A60" s="503"/>
      <c r="B60" s="488"/>
      <c r="C60" s="45" t="s">
        <v>178</v>
      </c>
      <c r="D60" s="48"/>
      <c r="E60" s="48"/>
      <c r="F60" s="49">
        <f t="shared" si="13"/>
        <v>0</v>
      </c>
      <c r="G60" s="49"/>
      <c r="H60" s="49"/>
      <c r="I60" s="49"/>
      <c r="J60" s="85"/>
      <c r="K60" s="49"/>
      <c r="L60" s="49"/>
      <c r="M60" s="49"/>
    </row>
    <row r="61" spans="1:13" s="6" customFormat="1" ht="27.75" customHeight="1">
      <c r="A61" s="494" t="s">
        <v>128</v>
      </c>
      <c r="B61" s="525" t="s">
        <v>31</v>
      </c>
      <c r="C61" s="46" t="s">
        <v>116</v>
      </c>
      <c r="D61" s="52"/>
      <c r="E61" s="50"/>
      <c r="F61" s="72">
        <f>G61+H61+I61+J61+K61+L61+M61</f>
        <v>5508528.931860001</v>
      </c>
      <c r="G61" s="47">
        <f aca="true" t="shared" si="14" ref="G61:M61">G63+G66+G62+G67</f>
        <v>662433.98265</v>
      </c>
      <c r="H61" s="47">
        <f t="shared" si="14"/>
        <v>684097.6972299999</v>
      </c>
      <c r="I61" s="47">
        <f t="shared" si="14"/>
        <v>818457.9029300001</v>
      </c>
      <c r="J61" s="84">
        <f t="shared" si="14"/>
        <v>901065.34905</v>
      </c>
      <c r="K61" s="47">
        <f t="shared" si="14"/>
        <v>908562.0700000001</v>
      </c>
      <c r="L61" s="47">
        <f t="shared" si="14"/>
        <v>771034.53</v>
      </c>
      <c r="M61" s="47">
        <f t="shared" si="14"/>
        <v>762877.4</v>
      </c>
    </row>
    <row r="62" spans="1:13" s="5" customFormat="1" ht="37.5">
      <c r="A62" s="494"/>
      <c r="B62" s="525"/>
      <c r="C62" s="45" t="s">
        <v>117</v>
      </c>
      <c r="D62" s="42"/>
      <c r="E62" s="48"/>
      <c r="F62" s="49">
        <f t="shared" si="13"/>
        <v>67326.046</v>
      </c>
      <c r="G62" s="49">
        <f>'приложение 8'!D221</f>
        <v>15892.484</v>
      </c>
      <c r="H62" s="49">
        <f>'приложение 8'!E221</f>
        <v>7115.062</v>
      </c>
      <c r="I62" s="49">
        <f>'приложение 8'!F221</f>
        <v>6508.5</v>
      </c>
      <c r="J62" s="85">
        <f>'приложение 8'!G221</f>
        <v>37810</v>
      </c>
      <c r="K62" s="49">
        <f>'приложение 8'!I221</f>
        <v>49527.4</v>
      </c>
      <c r="L62" s="49">
        <f>'приложение 8'!J221</f>
        <v>0</v>
      </c>
      <c r="M62" s="49">
        <f>'приложение 8'!K221</f>
        <v>0</v>
      </c>
    </row>
    <row r="63" spans="1:13" s="6" customFormat="1" ht="37.5">
      <c r="A63" s="494"/>
      <c r="B63" s="525"/>
      <c r="C63" s="46" t="s">
        <v>156</v>
      </c>
      <c r="D63" s="50" t="s">
        <v>109</v>
      </c>
      <c r="E63" s="50" t="s">
        <v>162</v>
      </c>
      <c r="F63" s="72">
        <f>G63+H63+I63+J63+K63+L63+M63</f>
        <v>5391452.326859999</v>
      </c>
      <c r="G63" s="47">
        <f>'приложение 8'!D222</f>
        <v>646397.2866499999</v>
      </c>
      <c r="H63" s="47">
        <f>'приложение 8'!E222</f>
        <v>676903.6882299999</v>
      </c>
      <c r="I63" s="47">
        <f>'приложение 8'!F222</f>
        <v>811949.4029300001</v>
      </c>
      <c r="J63" s="84">
        <f>'приложение 8'!G222</f>
        <v>863255.34905</v>
      </c>
      <c r="K63" s="47">
        <f>'приложение 8'!I222</f>
        <v>859034.67</v>
      </c>
      <c r="L63" s="47">
        <f>'приложение 8'!J222</f>
        <v>771034.53</v>
      </c>
      <c r="M63" s="47">
        <f>'приложение 8'!K222</f>
        <v>762877.4</v>
      </c>
    </row>
    <row r="64" spans="1:13" s="5" customFormat="1" ht="27.75" customHeight="1" hidden="1">
      <c r="A64" s="494"/>
      <c r="B64" s="525"/>
      <c r="C64" s="45" t="s">
        <v>158</v>
      </c>
      <c r="D64" s="48" t="s">
        <v>109</v>
      </c>
      <c r="E64" s="48" t="s">
        <v>157</v>
      </c>
      <c r="F64" s="49">
        <f t="shared" si="13"/>
        <v>2963981.8800000004</v>
      </c>
      <c r="G64" s="49">
        <v>563539.76</v>
      </c>
      <c r="H64" s="49">
        <v>562728.8400000001</v>
      </c>
      <c r="I64" s="49">
        <v>587548.58</v>
      </c>
      <c r="J64" s="85">
        <v>612225.6</v>
      </c>
      <c r="K64" s="49">
        <v>637939.1</v>
      </c>
      <c r="L64" s="49">
        <v>637939.1</v>
      </c>
      <c r="M64" s="49">
        <v>637939.1</v>
      </c>
    </row>
    <row r="65" spans="1:13" s="5" customFormat="1" ht="27.75" customHeight="1" hidden="1">
      <c r="A65" s="494"/>
      <c r="B65" s="525"/>
      <c r="C65" s="45" t="s">
        <v>158</v>
      </c>
      <c r="D65" s="48" t="s">
        <v>109</v>
      </c>
      <c r="E65" s="48" t="s">
        <v>126</v>
      </c>
      <c r="F65" s="49">
        <f t="shared" si="13"/>
        <v>176965.54000000004</v>
      </c>
      <c r="G65" s="49">
        <v>30090.94</v>
      </c>
      <c r="H65" s="49">
        <v>31690</v>
      </c>
      <c r="I65" s="49">
        <v>36826.5</v>
      </c>
      <c r="J65" s="85">
        <v>38373.2</v>
      </c>
      <c r="K65" s="49">
        <v>39984.90000000002</v>
      </c>
      <c r="L65" s="49">
        <v>39984.90000000002</v>
      </c>
      <c r="M65" s="49">
        <v>39984.90000000002</v>
      </c>
    </row>
    <row r="66" spans="1:13" s="5" customFormat="1" ht="29.25" customHeight="1">
      <c r="A66" s="494"/>
      <c r="B66" s="525"/>
      <c r="C66" s="45" t="s">
        <v>119</v>
      </c>
      <c r="D66" s="48"/>
      <c r="E66" s="48"/>
      <c r="F66" s="49">
        <f t="shared" si="13"/>
        <v>223.159</v>
      </c>
      <c r="G66" s="49">
        <f>'приложение 8'!D223</f>
        <v>144.212</v>
      </c>
      <c r="H66" s="49">
        <f>'приложение 8'!E223</f>
        <v>78.947</v>
      </c>
      <c r="I66" s="49">
        <f>'приложение 8'!F223</f>
        <v>0</v>
      </c>
      <c r="J66" s="85">
        <f>'приложение 8'!G223</f>
        <v>0</v>
      </c>
      <c r="K66" s="49">
        <f>'приложение 8'!J223</f>
        <v>0</v>
      </c>
      <c r="L66" s="49">
        <f>'приложение 8'!J223</f>
        <v>0</v>
      </c>
      <c r="M66" s="49">
        <f>'приложение 8'!K223</f>
        <v>0</v>
      </c>
    </row>
    <row r="67" spans="1:13" s="5" customFormat="1" ht="37.5">
      <c r="A67" s="494"/>
      <c r="B67" s="525"/>
      <c r="C67" s="45" t="s">
        <v>120</v>
      </c>
      <c r="D67" s="48"/>
      <c r="E67" s="48"/>
      <c r="F67" s="49">
        <f t="shared" si="13"/>
        <v>0</v>
      </c>
      <c r="G67" s="49">
        <f>'приложение 8'!D224</f>
        <v>0</v>
      </c>
      <c r="H67" s="49">
        <f>'приложение 8'!E224</f>
        <v>0</v>
      </c>
      <c r="I67" s="49">
        <f>'приложение 8'!F224</f>
        <v>0</v>
      </c>
      <c r="J67" s="85">
        <f>'приложение 8'!G224</f>
        <v>0</v>
      </c>
      <c r="K67" s="49">
        <f>'приложение 8'!J224</f>
        <v>0</v>
      </c>
      <c r="L67" s="49">
        <f>'приложение 8'!J224</f>
        <v>0</v>
      </c>
      <c r="M67" s="49">
        <f>'приложение 8'!K224</f>
        <v>0</v>
      </c>
    </row>
    <row r="68" spans="1:13" s="5" customFormat="1" ht="41.25" customHeight="1">
      <c r="A68" s="494"/>
      <c r="B68" s="525"/>
      <c r="C68" s="45" t="s">
        <v>192</v>
      </c>
      <c r="D68" s="48"/>
      <c r="E68" s="48"/>
      <c r="F68" s="49"/>
      <c r="G68" s="49"/>
      <c r="H68" s="49"/>
      <c r="I68" s="49"/>
      <c r="J68" s="85"/>
      <c r="K68" s="49"/>
      <c r="L68" s="49"/>
      <c r="M68" s="49"/>
    </row>
    <row r="69" spans="1:13" s="5" customFormat="1" ht="37.5">
      <c r="A69" s="494"/>
      <c r="B69" s="525"/>
      <c r="C69" s="45" t="s">
        <v>178</v>
      </c>
      <c r="D69" s="48"/>
      <c r="E69" s="48"/>
      <c r="F69" s="49"/>
      <c r="G69" s="49"/>
      <c r="H69" s="49"/>
      <c r="I69" s="49"/>
      <c r="J69" s="85"/>
      <c r="K69" s="49"/>
      <c r="L69" s="49"/>
      <c r="M69" s="49"/>
    </row>
    <row r="70" spans="1:13" s="6" customFormat="1" ht="27.75" customHeight="1">
      <c r="A70" s="503" t="s">
        <v>129</v>
      </c>
      <c r="B70" s="488" t="s">
        <v>184</v>
      </c>
      <c r="C70" s="46" t="s">
        <v>116</v>
      </c>
      <c r="D70" s="52"/>
      <c r="E70" s="50"/>
      <c r="F70" s="47">
        <f aca="true" t="shared" si="15" ref="F70:M70">F72+F73+F74+F75+F76</f>
        <v>5511.983</v>
      </c>
      <c r="G70" s="47">
        <f t="shared" si="15"/>
        <v>2732.727</v>
      </c>
      <c r="H70" s="47">
        <f t="shared" si="15"/>
        <v>1296.8</v>
      </c>
      <c r="I70" s="47">
        <f t="shared" si="15"/>
        <v>1357.4560000000001</v>
      </c>
      <c r="J70" s="84">
        <f t="shared" si="15"/>
        <v>125</v>
      </c>
      <c r="K70" s="47">
        <f>K72+K73+K74+K75+K76</f>
        <v>3157.8</v>
      </c>
      <c r="L70" s="47">
        <f>L72+L73+L74+L75+L76</f>
        <v>0</v>
      </c>
      <c r="M70" s="47">
        <f t="shared" si="15"/>
        <v>0</v>
      </c>
    </row>
    <row r="71" spans="1:13" s="5" customFormat="1" ht="37.5">
      <c r="A71" s="503"/>
      <c r="B71" s="488"/>
      <c r="C71" s="45" t="s">
        <v>117</v>
      </c>
      <c r="D71" s="42"/>
      <c r="E71" s="48"/>
      <c r="F71" s="49">
        <f>G71+H71+I71+J71+M71</f>
        <v>0</v>
      </c>
      <c r="G71" s="49">
        <f>'приложение 8'!D271</f>
        <v>0</v>
      </c>
      <c r="H71" s="49">
        <f>'приложение 8'!E271</f>
        <v>0</v>
      </c>
      <c r="I71" s="49">
        <f>'приложение 8'!F271</f>
        <v>0</v>
      </c>
      <c r="J71" s="85">
        <f>'приложение 8'!G271</f>
        <v>0</v>
      </c>
      <c r="K71" s="49">
        <f>'приложение 8'!J271</f>
        <v>0</v>
      </c>
      <c r="L71" s="49">
        <f>'приложение 8'!J271</f>
        <v>0</v>
      </c>
      <c r="M71" s="49">
        <f>'приложение 8'!K271</f>
        <v>0</v>
      </c>
    </row>
    <row r="72" spans="1:13" s="6" customFormat="1" ht="27.75" customHeight="1">
      <c r="A72" s="503"/>
      <c r="B72" s="488"/>
      <c r="C72" s="46" t="s">
        <v>118</v>
      </c>
      <c r="D72" s="50" t="s">
        <v>109</v>
      </c>
      <c r="E72" s="50" t="s">
        <v>162</v>
      </c>
      <c r="F72" s="47">
        <f>G72+H72+I72+J72+M72</f>
        <v>4917.456</v>
      </c>
      <c r="G72" s="47">
        <f>'приложение 8'!D272</f>
        <v>2350</v>
      </c>
      <c r="H72" s="47">
        <f>'приложение 8'!E272</f>
        <v>1210</v>
      </c>
      <c r="I72" s="47">
        <f>'приложение 8'!F272</f>
        <v>1232.4560000000001</v>
      </c>
      <c r="J72" s="84">
        <f>'приложение 8'!G272</f>
        <v>125</v>
      </c>
      <c r="K72" s="47">
        <f>'приложение 8'!I272</f>
        <v>3157.8</v>
      </c>
      <c r="L72" s="47">
        <f>'приложение 8'!J272</f>
        <v>0</v>
      </c>
      <c r="M72" s="47">
        <f>'приложение 8'!K272</f>
        <v>0</v>
      </c>
    </row>
    <row r="73" spans="1:13" s="5" customFormat="1" ht="27.75" customHeight="1">
      <c r="A73" s="503"/>
      <c r="B73" s="488"/>
      <c r="C73" s="45" t="s">
        <v>119</v>
      </c>
      <c r="D73" s="48"/>
      <c r="E73" s="48"/>
      <c r="F73" s="49">
        <f>G73+H73+I73+J73+M73</f>
        <v>594.527</v>
      </c>
      <c r="G73" s="49">
        <f>'приложение 8'!D273</f>
        <v>382.727</v>
      </c>
      <c r="H73" s="49">
        <f>'приложение 8'!E273</f>
        <v>86.8</v>
      </c>
      <c r="I73" s="49">
        <f>'приложение 8'!F273</f>
        <v>125</v>
      </c>
      <c r="J73" s="85">
        <f>'приложение 8'!G273</f>
        <v>0</v>
      </c>
      <c r="K73" s="49">
        <f>'приложение 8'!I273</f>
        <v>0</v>
      </c>
      <c r="L73" s="49">
        <f>'приложение 8'!J273</f>
        <v>0</v>
      </c>
      <c r="M73" s="49">
        <f>'приложение 8'!K273</f>
        <v>0</v>
      </c>
    </row>
    <row r="74" spans="1:13" s="5" customFormat="1" ht="37.5">
      <c r="A74" s="503"/>
      <c r="B74" s="488"/>
      <c r="C74" s="45" t="s">
        <v>120</v>
      </c>
      <c r="D74" s="48"/>
      <c r="E74" s="48"/>
      <c r="F74" s="49">
        <f>G74+H74+I74+J74+M74</f>
        <v>0</v>
      </c>
      <c r="G74" s="49">
        <f>'приложение 8'!D274</f>
        <v>0</v>
      </c>
      <c r="H74" s="49">
        <f>'приложение 8'!E274</f>
        <v>0</v>
      </c>
      <c r="I74" s="49">
        <f>'приложение 8'!F274</f>
        <v>0</v>
      </c>
      <c r="J74" s="85">
        <f>'приложение 8'!G274</f>
        <v>0</v>
      </c>
      <c r="K74" s="49">
        <f>'приложение 8'!J274</f>
        <v>0</v>
      </c>
      <c r="L74" s="49">
        <f>'приложение 8'!J274</f>
        <v>0</v>
      </c>
      <c r="M74" s="49">
        <f>'приложение 8'!K274</f>
        <v>0</v>
      </c>
    </row>
    <row r="75" spans="1:13" s="5" customFormat="1" ht="36.75" customHeight="1">
      <c r="A75" s="503"/>
      <c r="B75" s="488"/>
      <c r="C75" s="45" t="s">
        <v>192</v>
      </c>
      <c r="D75" s="48"/>
      <c r="E75" s="48"/>
      <c r="F75" s="49"/>
      <c r="G75" s="49"/>
      <c r="H75" s="49"/>
      <c r="I75" s="49"/>
      <c r="J75" s="85"/>
      <c r="K75" s="49"/>
      <c r="L75" s="49"/>
      <c r="M75" s="49"/>
    </row>
    <row r="76" spans="1:13" s="5" customFormat="1" ht="37.5">
      <c r="A76" s="503"/>
      <c r="B76" s="488"/>
      <c r="C76" s="45" t="s">
        <v>178</v>
      </c>
      <c r="D76" s="48"/>
      <c r="E76" s="48"/>
      <c r="F76" s="49"/>
      <c r="G76" s="49"/>
      <c r="H76" s="49"/>
      <c r="I76" s="49"/>
      <c r="J76" s="85"/>
      <c r="K76" s="49"/>
      <c r="L76" s="49"/>
      <c r="M76" s="49"/>
    </row>
    <row r="77" spans="1:13" s="6" customFormat="1" ht="27.75" customHeight="1">
      <c r="A77" s="503" t="s">
        <v>77</v>
      </c>
      <c r="B77" s="488" t="s">
        <v>78</v>
      </c>
      <c r="C77" s="46" t="s">
        <v>116</v>
      </c>
      <c r="D77" s="52"/>
      <c r="E77" s="50"/>
      <c r="F77" s="47">
        <f aca="true" t="shared" si="16" ref="F77:M77">F85</f>
        <v>310299.73945</v>
      </c>
      <c r="G77" s="47">
        <f t="shared" si="16"/>
        <v>54845.46974</v>
      </c>
      <c r="H77" s="47">
        <f t="shared" si="16"/>
        <v>50287.36483</v>
      </c>
      <c r="I77" s="47">
        <f t="shared" si="16"/>
        <v>44493.9</v>
      </c>
      <c r="J77" s="84">
        <f t="shared" si="16"/>
        <v>44108.68649</v>
      </c>
      <c r="K77" s="47">
        <f>K85</f>
        <v>41602.31</v>
      </c>
      <c r="L77" s="47">
        <f>L85</f>
        <v>40276.31</v>
      </c>
      <c r="M77" s="47">
        <f t="shared" si="16"/>
        <v>40276.31</v>
      </c>
    </row>
    <row r="78" spans="1:13" s="5" customFormat="1" ht="37.5">
      <c r="A78" s="503"/>
      <c r="B78" s="488"/>
      <c r="C78" s="45" t="s">
        <v>117</v>
      </c>
      <c r="D78" s="42"/>
      <c r="E78" s="48"/>
      <c r="F78" s="49"/>
      <c r="G78" s="49"/>
      <c r="H78" s="49"/>
      <c r="I78" s="49"/>
      <c r="J78" s="85"/>
      <c r="K78" s="49"/>
      <c r="L78" s="49"/>
      <c r="M78" s="49"/>
    </row>
    <row r="79" spans="1:13" s="6" customFormat="1" ht="23.25" customHeight="1">
      <c r="A79" s="503"/>
      <c r="B79" s="488"/>
      <c r="C79" s="46" t="s">
        <v>118</v>
      </c>
      <c r="D79" s="50" t="s">
        <v>109</v>
      </c>
      <c r="E79" s="50" t="s">
        <v>214</v>
      </c>
      <c r="F79" s="47">
        <f aca="true" t="shared" si="17" ref="F79:M79">F87</f>
        <v>310299.73945</v>
      </c>
      <c r="G79" s="47">
        <f t="shared" si="17"/>
        <v>54845.46974</v>
      </c>
      <c r="H79" s="47">
        <f t="shared" si="17"/>
        <v>50287.36483</v>
      </c>
      <c r="I79" s="47">
        <f t="shared" si="17"/>
        <v>44493.9</v>
      </c>
      <c r="J79" s="84">
        <f>J87</f>
        <v>38518.07488</v>
      </c>
      <c r="K79" s="47">
        <f t="shared" si="17"/>
        <v>41602.31</v>
      </c>
      <c r="L79" s="47">
        <f t="shared" si="17"/>
        <v>40276.31</v>
      </c>
      <c r="M79" s="47">
        <f t="shared" si="17"/>
        <v>40276.31</v>
      </c>
    </row>
    <row r="80" spans="1:13" s="6" customFormat="1" ht="23.25" customHeight="1">
      <c r="A80" s="503"/>
      <c r="B80" s="488"/>
      <c r="C80" s="46"/>
      <c r="D80" s="50" t="s">
        <v>142</v>
      </c>
      <c r="E80" s="50"/>
      <c r="F80" s="47"/>
      <c r="G80" s="47"/>
      <c r="H80" s="47"/>
      <c r="I80" s="47"/>
      <c r="J80" s="84">
        <f>J88</f>
        <v>5590.61161</v>
      </c>
      <c r="K80" s="47"/>
      <c r="L80" s="47"/>
      <c r="M80" s="47"/>
    </row>
    <row r="81" spans="1:13" s="5" customFormat="1" ht="21.75" customHeight="1">
      <c r="A81" s="503"/>
      <c r="B81" s="488"/>
      <c r="C81" s="45" t="s">
        <v>119</v>
      </c>
      <c r="D81" s="48"/>
      <c r="E81" s="48"/>
      <c r="F81" s="49"/>
      <c r="G81" s="49"/>
      <c r="H81" s="49"/>
      <c r="I81" s="49"/>
      <c r="J81" s="85"/>
      <c r="K81" s="49"/>
      <c r="L81" s="49"/>
      <c r="M81" s="49"/>
    </row>
    <row r="82" spans="1:13" s="5" customFormat="1" ht="37.5">
      <c r="A82" s="503"/>
      <c r="B82" s="488"/>
      <c r="C82" s="45" t="s">
        <v>120</v>
      </c>
      <c r="D82" s="48"/>
      <c r="E82" s="48"/>
      <c r="F82" s="49"/>
      <c r="G82" s="49"/>
      <c r="H82" s="49"/>
      <c r="I82" s="49"/>
      <c r="J82" s="85"/>
      <c r="K82" s="49"/>
      <c r="L82" s="49"/>
      <c r="M82" s="49"/>
    </row>
    <row r="83" spans="1:13" s="5" customFormat="1" ht="37.5" customHeight="1">
      <c r="A83" s="503"/>
      <c r="B83" s="488"/>
      <c r="C83" s="45" t="s">
        <v>192</v>
      </c>
      <c r="D83" s="48"/>
      <c r="E83" s="48"/>
      <c r="F83" s="49"/>
      <c r="G83" s="49"/>
      <c r="H83" s="49"/>
      <c r="I83" s="49"/>
      <c r="J83" s="85"/>
      <c r="K83" s="49"/>
      <c r="L83" s="49"/>
      <c r="M83" s="49"/>
    </row>
    <row r="84" spans="1:13" s="5" customFormat="1" ht="56.25">
      <c r="A84" s="503"/>
      <c r="B84" s="488"/>
      <c r="C84" s="45" t="s">
        <v>178</v>
      </c>
      <c r="D84" s="48"/>
      <c r="E84" s="48"/>
      <c r="F84" s="49"/>
      <c r="G84" s="49"/>
      <c r="H84" s="49"/>
      <c r="I84" s="49"/>
      <c r="J84" s="85"/>
      <c r="K84" s="49"/>
      <c r="L84" s="49"/>
      <c r="M84" s="49"/>
    </row>
    <row r="85" spans="1:13" s="6" customFormat="1" ht="27.75" customHeight="1">
      <c r="A85" s="503" t="s">
        <v>130</v>
      </c>
      <c r="B85" s="524" t="s">
        <v>193</v>
      </c>
      <c r="C85" s="46" t="s">
        <v>116</v>
      </c>
      <c r="D85" s="52"/>
      <c r="E85" s="50"/>
      <c r="F85" s="47">
        <f>F87+F89+F90+F91+F92</f>
        <v>310299.73945</v>
      </c>
      <c r="G85" s="47">
        <f aca="true" t="shared" si="18" ref="G85:M85">G86+G87+G89+G90+G91+G92</f>
        <v>54845.46974</v>
      </c>
      <c r="H85" s="47">
        <f t="shared" si="18"/>
        <v>50287.36483</v>
      </c>
      <c r="I85" s="47">
        <f t="shared" si="18"/>
        <v>44493.9</v>
      </c>
      <c r="J85" s="84">
        <f>J86+J87+J89+J90+J91+J92+J88</f>
        <v>44108.68649</v>
      </c>
      <c r="K85" s="47">
        <f t="shared" si="18"/>
        <v>41602.31</v>
      </c>
      <c r="L85" s="47">
        <f t="shared" si="18"/>
        <v>40276.31</v>
      </c>
      <c r="M85" s="47">
        <f t="shared" si="18"/>
        <v>40276.31</v>
      </c>
    </row>
    <row r="86" spans="1:13" s="5" customFormat="1" ht="37.5">
      <c r="A86" s="503"/>
      <c r="B86" s="524"/>
      <c r="C86" s="45" t="s">
        <v>117</v>
      </c>
      <c r="D86" s="42"/>
      <c r="E86" s="48"/>
      <c r="F86" s="49"/>
      <c r="G86" s="49"/>
      <c r="H86" s="49"/>
      <c r="I86" s="49"/>
      <c r="J86" s="85"/>
      <c r="K86" s="49"/>
      <c r="L86" s="49"/>
      <c r="M86" s="49"/>
    </row>
    <row r="87" spans="1:13" s="6" customFormat="1" ht="27.75" customHeight="1">
      <c r="A87" s="503"/>
      <c r="B87" s="524"/>
      <c r="C87" s="46" t="s">
        <v>118</v>
      </c>
      <c r="D87" s="50" t="s">
        <v>109</v>
      </c>
      <c r="E87" s="50" t="s">
        <v>214</v>
      </c>
      <c r="F87" s="47">
        <f>G87+H87+I87+J87+K87+L87+M87</f>
        <v>310299.73945</v>
      </c>
      <c r="G87" s="47">
        <f>'приложение 8'!D337</f>
        <v>54845.46974</v>
      </c>
      <c r="H87" s="47">
        <f>'приложение 8'!E337</f>
        <v>50287.36483</v>
      </c>
      <c r="I87" s="47">
        <f>'приложение 8'!F337</f>
        <v>44493.9</v>
      </c>
      <c r="J87" s="84">
        <f>'приложение 8'!G337-5590.61161</f>
        <v>38518.07488</v>
      </c>
      <c r="K87" s="47">
        <f>'приложение 8'!I337</f>
        <v>41602.31</v>
      </c>
      <c r="L87" s="47">
        <f>'приложение 8'!J337</f>
        <v>40276.31</v>
      </c>
      <c r="M87" s="47">
        <f>'приложение 8'!K337</f>
        <v>40276.31</v>
      </c>
    </row>
    <row r="88" spans="1:13" s="6" customFormat="1" ht="27.75" customHeight="1">
      <c r="A88" s="503"/>
      <c r="B88" s="524"/>
      <c r="C88" s="46"/>
      <c r="D88" s="50" t="s">
        <v>142</v>
      </c>
      <c r="E88" s="50"/>
      <c r="F88" s="47"/>
      <c r="G88" s="47"/>
      <c r="H88" s="47"/>
      <c r="I88" s="47"/>
      <c r="J88" s="84">
        <v>5590.61161</v>
      </c>
      <c r="K88" s="47"/>
      <c r="L88" s="47"/>
      <c r="M88" s="47"/>
    </row>
    <row r="89" spans="1:13" s="5" customFormat="1" ht="24.75" customHeight="1">
      <c r="A89" s="503"/>
      <c r="B89" s="524"/>
      <c r="C89" s="45" t="s">
        <v>119</v>
      </c>
      <c r="D89" s="48"/>
      <c r="E89" s="48"/>
      <c r="F89" s="49"/>
      <c r="G89" s="49"/>
      <c r="H89" s="49"/>
      <c r="I89" s="49"/>
      <c r="J89" s="85"/>
      <c r="K89" s="49"/>
      <c r="L89" s="49"/>
      <c r="M89" s="49"/>
    </row>
    <row r="90" spans="1:13" s="5" customFormat="1" ht="37.5">
      <c r="A90" s="503"/>
      <c r="B90" s="524"/>
      <c r="C90" s="45" t="s">
        <v>120</v>
      </c>
      <c r="D90" s="48"/>
      <c r="E90" s="48"/>
      <c r="F90" s="49"/>
      <c r="G90" s="49"/>
      <c r="H90" s="49"/>
      <c r="I90" s="49"/>
      <c r="J90" s="85"/>
      <c r="K90" s="49"/>
      <c r="L90" s="49"/>
      <c r="M90" s="49"/>
    </row>
    <row r="91" spans="1:13" s="5" customFormat="1" ht="37.5" customHeight="1">
      <c r="A91" s="503"/>
      <c r="B91" s="524"/>
      <c r="C91" s="45" t="s">
        <v>192</v>
      </c>
      <c r="D91" s="48"/>
      <c r="E91" s="48"/>
      <c r="F91" s="49"/>
      <c r="G91" s="49"/>
      <c r="H91" s="49"/>
      <c r="I91" s="49"/>
      <c r="J91" s="85"/>
      <c r="K91" s="49"/>
      <c r="L91" s="49"/>
      <c r="M91" s="49"/>
    </row>
    <row r="92" spans="1:13" s="5" customFormat="1" ht="56.25">
      <c r="A92" s="503"/>
      <c r="B92" s="524"/>
      <c r="C92" s="45" t="s">
        <v>178</v>
      </c>
      <c r="D92" s="48"/>
      <c r="E92" s="48"/>
      <c r="F92" s="49"/>
      <c r="G92" s="49"/>
      <c r="H92" s="49"/>
      <c r="I92" s="49"/>
      <c r="J92" s="85"/>
      <c r="K92" s="49"/>
      <c r="L92" s="49"/>
      <c r="M92" s="49"/>
    </row>
    <row r="93" spans="1:13" s="6" customFormat="1" ht="27.75" customHeight="1">
      <c r="A93" s="494" t="s">
        <v>81</v>
      </c>
      <c r="B93" s="496" t="s">
        <v>191</v>
      </c>
      <c r="C93" s="46" t="s">
        <v>116</v>
      </c>
      <c r="D93" s="52"/>
      <c r="E93" s="50"/>
      <c r="F93" s="47">
        <f aca="true" t="shared" si="19" ref="F93:M93">F94+F95+F98+F99+F100+F101</f>
        <v>1745824.7692200004</v>
      </c>
      <c r="G93" s="47">
        <f t="shared" si="19"/>
        <v>423079.08392999996</v>
      </c>
      <c r="H93" s="47">
        <f t="shared" si="19"/>
        <v>393066.91</v>
      </c>
      <c r="I93" s="47">
        <f t="shared" si="19"/>
        <v>358333.36062</v>
      </c>
      <c r="J93" s="84">
        <f t="shared" si="19"/>
        <v>317904.12467</v>
      </c>
      <c r="K93" s="47">
        <f t="shared" si="19"/>
        <v>296784.35215000005</v>
      </c>
      <c r="L93" s="47">
        <f t="shared" si="19"/>
        <v>225371.35</v>
      </c>
      <c r="M93" s="47">
        <f t="shared" si="19"/>
        <v>235241.29</v>
      </c>
    </row>
    <row r="94" spans="1:13" s="5" customFormat="1" ht="37.5">
      <c r="A94" s="494"/>
      <c r="B94" s="496"/>
      <c r="C94" s="45" t="s">
        <v>117</v>
      </c>
      <c r="D94" s="42"/>
      <c r="E94" s="48"/>
      <c r="F94" s="49">
        <f aca="true" t="shared" si="20" ref="F94:M94">F103+F110+F119+F128</f>
        <v>125000</v>
      </c>
      <c r="G94" s="49">
        <f t="shared" si="20"/>
        <v>30000</v>
      </c>
      <c r="H94" s="49">
        <f t="shared" si="20"/>
        <v>95000</v>
      </c>
      <c r="I94" s="49">
        <f t="shared" si="20"/>
        <v>0</v>
      </c>
      <c r="J94" s="85">
        <f t="shared" si="20"/>
        <v>0</v>
      </c>
      <c r="K94" s="49">
        <f t="shared" si="20"/>
        <v>0</v>
      </c>
      <c r="L94" s="49">
        <f t="shared" si="20"/>
        <v>0</v>
      </c>
      <c r="M94" s="49">
        <f t="shared" si="20"/>
        <v>0</v>
      </c>
    </row>
    <row r="95" spans="1:13" s="6" customFormat="1" ht="44.25" customHeight="1">
      <c r="A95" s="494"/>
      <c r="B95" s="496"/>
      <c r="C95" s="46" t="s">
        <v>122</v>
      </c>
      <c r="D95" s="50"/>
      <c r="E95" s="50"/>
      <c r="F95" s="47">
        <f>F104+F111+F121+F122+F130</f>
        <v>1604233.8755700004</v>
      </c>
      <c r="G95" s="47">
        <f>G104+G111+G121+G122+G129</f>
        <v>383669.49648</v>
      </c>
      <c r="H95" s="47">
        <f aca="true" t="shared" si="21" ref="H95:M95">H104+H111+H121+H122+H129</f>
        <v>298066.91</v>
      </c>
      <c r="I95" s="47">
        <f t="shared" si="21"/>
        <v>353438.64662</v>
      </c>
      <c r="J95" s="84">
        <f t="shared" si="21"/>
        <v>315617.53247</v>
      </c>
      <c r="K95" s="47">
        <f t="shared" si="21"/>
        <v>296784.35215000005</v>
      </c>
      <c r="L95" s="47">
        <f t="shared" si="21"/>
        <v>225371.35</v>
      </c>
      <c r="M95" s="47">
        <f t="shared" si="21"/>
        <v>235241.29</v>
      </c>
    </row>
    <row r="96" spans="1:13" s="6" customFormat="1" ht="27.75" customHeight="1">
      <c r="A96" s="494"/>
      <c r="B96" s="496"/>
      <c r="C96" s="45" t="s">
        <v>118</v>
      </c>
      <c r="D96" s="48" t="s">
        <v>109</v>
      </c>
      <c r="E96" s="48" t="s">
        <v>163</v>
      </c>
      <c r="F96" s="49">
        <f aca="true" t="shared" si="22" ref="F96:K96">F104+F112+F121+F130</f>
        <v>958723.6835</v>
      </c>
      <c r="G96" s="49">
        <f t="shared" si="22"/>
        <v>383273.49648</v>
      </c>
      <c r="H96" s="49">
        <f t="shared" si="22"/>
        <v>226168</v>
      </c>
      <c r="I96" s="49">
        <f t="shared" si="22"/>
        <v>289754.22952</v>
      </c>
      <c r="J96" s="85">
        <f t="shared" si="22"/>
        <v>59527.957500000004</v>
      </c>
      <c r="K96" s="49">
        <f t="shared" si="22"/>
        <v>143604.198</v>
      </c>
      <c r="L96" s="49">
        <v>0</v>
      </c>
      <c r="M96" s="49">
        <v>0</v>
      </c>
    </row>
    <row r="97" spans="1:13" s="6" customFormat="1" ht="23.25" customHeight="1">
      <c r="A97" s="494"/>
      <c r="B97" s="496"/>
      <c r="C97" s="45" t="s">
        <v>118</v>
      </c>
      <c r="D97" s="48" t="s">
        <v>110</v>
      </c>
      <c r="E97" s="48" t="s">
        <v>163</v>
      </c>
      <c r="F97" s="49">
        <f>F122+F113</f>
        <v>645510.19207</v>
      </c>
      <c r="G97" s="49">
        <f aca="true" t="shared" si="23" ref="G97:M97">G113+G122</f>
        <v>396</v>
      </c>
      <c r="H97" s="49">
        <f t="shared" si="23"/>
        <v>71898.91</v>
      </c>
      <c r="I97" s="49">
        <f t="shared" si="23"/>
        <v>63684.4171</v>
      </c>
      <c r="J97" s="85">
        <f>J113+J122</f>
        <v>256089.57497000002</v>
      </c>
      <c r="K97" s="49">
        <f t="shared" si="23"/>
        <v>153180.15415000002</v>
      </c>
      <c r="L97" s="49">
        <f t="shared" si="23"/>
        <v>225371.35</v>
      </c>
      <c r="M97" s="49">
        <f t="shared" si="23"/>
        <v>235241.29</v>
      </c>
    </row>
    <row r="98" spans="1:13" s="5" customFormat="1" ht="22.5" customHeight="1">
      <c r="A98" s="494"/>
      <c r="B98" s="496"/>
      <c r="C98" s="45" t="s">
        <v>119</v>
      </c>
      <c r="D98" s="48"/>
      <c r="E98" s="48"/>
      <c r="F98" s="49">
        <f aca="true" t="shared" si="24" ref="F98:M98">F105+F123+F141+F131</f>
        <v>16590.89365</v>
      </c>
      <c r="G98" s="49">
        <f t="shared" si="24"/>
        <v>9409.58745</v>
      </c>
      <c r="H98" s="49">
        <f t="shared" si="24"/>
        <v>0</v>
      </c>
      <c r="I98" s="49">
        <f t="shared" si="24"/>
        <v>4894.714</v>
      </c>
      <c r="J98" s="85">
        <f t="shared" si="24"/>
        <v>2286.5922</v>
      </c>
      <c r="K98" s="49">
        <f t="shared" si="24"/>
        <v>0</v>
      </c>
      <c r="L98" s="49">
        <f t="shared" si="24"/>
        <v>0</v>
      </c>
      <c r="M98" s="49">
        <f t="shared" si="24"/>
        <v>0</v>
      </c>
    </row>
    <row r="99" spans="1:13" s="5" customFormat="1" ht="37.5">
      <c r="A99" s="494"/>
      <c r="B99" s="496"/>
      <c r="C99" s="45" t="s">
        <v>120</v>
      </c>
      <c r="D99" s="48"/>
      <c r="E99" s="48"/>
      <c r="F99" s="49">
        <f aca="true" t="shared" si="25" ref="F99:M101">F106+F115+F124</f>
        <v>0</v>
      </c>
      <c r="G99" s="49">
        <f t="shared" si="25"/>
        <v>0</v>
      </c>
      <c r="H99" s="49">
        <f t="shared" si="25"/>
        <v>0</v>
      </c>
      <c r="I99" s="49">
        <f t="shared" si="25"/>
        <v>0</v>
      </c>
      <c r="J99" s="85">
        <f t="shared" si="25"/>
        <v>0</v>
      </c>
      <c r="K99" s="49">
        <f t="shared" si="25"/>
        <v>0</v>
      </c>
      <c r="L99" s="49">
        <f t="shared" si="25"/>
        <v>0</v>
      </c>
      <c r="M99" s="49">
        <f t="shared" si="25"/>
        <v>0</v>
      </c>
    </row>
    <row r="100" spans="1:13" s="5" customFormat="1" ht="37.5">
      <c r="A100" s="494"/>
      <c r="B100" s="496"/>
      <c r="C100" s="45" t="s">
        <v>192</v>
      </c>
      <c r="D100" s="48"/>
      <c r="E100" s="48"/>
      <c r="F100" s="49">
        <f t="shared" si="25"/>
        <v>0</v>
      </c>
      <c r="G100" s="49">
        <f t="shared" si="25"/>
        <v>0</v>
      </c>
      <c r="H100" s="49">
        <f t="shared" si="25"/>
        <v>0</v>
      </c>
      <c r="I100" s="49">
        <f t="shared" si="25"/>
        <v>0</v>
      </c>
      <c r="J100" s="85">
        <f t="shared" si="25"/>
        <v>0</v>
      </c>
      <c r="K100" s="49">
        <f t="shared" si="25"/>
        <v>0</v>
      </c>
      <c r="L100" s="49">
        <f t="shared" si="25"/>
        <v>0</v>
      </c>
      <c r="M100" s="49">
        <f t="shared" si="25"/>
        <v>0</v>
      </c>
    </row>
    <row r="101" spans="1:13" s="5" customFormat="1" ht="56.25">
      <c r="A101" s="494"/>
      <c r="B101" s="496"/>
      <c r="C101" s="45" t="s">
        <v>178</v>
      </c>
      <c r="D101" s="48"/>
      <c r="E101" s="48"/>
      <c r="F101" s="49">
        <f t="shared" si="25"/>
        <v>0</v>
      </c>
      <c r="G101" s="49">
        <f t="shared" si="25"/>
        <v>0</v>
      </c>
      <c r="H101" s="49">
        <f t="shared" si="25"/>
        <v>0</v>
      </c>
      <c r="I101" s="49">
        <f t="shared" si="25"/>
        <v>0</v>
      </c>
      <c r="J101" s="85">
        <f t="shared" si="25"/>
        <v>0</v>
      </c>
      <c r="K101" s="49">
        <f t="shared" si="25"/>
        <v>0</v>
      </c>
      <c r="L101" s="49">
        <f t="shared" si="25"/>
        <v>0</v>
      </c>
      <c r="M101" s="49">
        <f t="shared" si="25"/>
        <v>0</v>
      </c>
    </row>
    <row r="102" spans="1:13" s="6" customFormat="1" ht="27.75" customHeight="1">
      <c r="A102" s="494" t="s">
        <v>131</v>
      </c>
      <c r="B102" s="523" t="s">
        <v>19</v>
      </c>
      <c r="C102" s="46" t="s">
        <v>116</v>
      </c>
      <c r="D102" s="54"/>
      <c r="E102" s="50"/>
      <c r="F102" s="55">
        <f>G102+H102+I102+J102+M102</f>
        <v>101550.07693</v>
      </c>
      <c r="G102" s="47">
        <f aca="true" t="shared" si="26" ref="G102:M102">G103+G104+G105+G106+G107</f>
        <v>69562.40193</v>
      </c>
      <c r="H102" s="47">
        <f t="shared" si="26"/>
        <v>0</v>
      </c>
      <c r="I102" s="47">
        <f t="shared" si="26"/>
        <v>20554.714</v>
      </c>
      <c r="J102" s="84">
        <f t="shared" si="26"/>
        <v>11432.961</v>
      </c>
      <c r="K102" s="47">
        <f>K103+K104+K105+K106+K107</f>
        <v>0</v>
      </c>
      <c r="L102" s="47">
        <f t="shared" si="26"/>
        <v>0</v>
      </c>
      <c r="M102" s="47">
        <f t="shared" si="26"/>
        <v>0</v>
      </c>
    </row>
    <row r="103" spans="1:13" s="5" customFormat="1" ht="37.5">
      <c r="A103" s="503"/>
      <c r="B103" s="523"/>
      <c r="C103" s="45" t="s">
        <v>117</v>
      </c>
      <c r="D103" s="37"/>
      <c r="E103" s="56"/>
      <c r="F103" s="38">
        <f>G103+H103+I103+J103+M103</f>
        <v>0</v>
      </c>
      <c r="G103" s="49">
        <f>'приложение 8'!D359</f>
        <v>0</v>
      </c>
      <c r="H103" s="49">
        <f>'приложение 8'!E359</f>
        <v>0</v>
      </c>
      <c r="I103" s="49">
        <f>'приложение 8'!F359</f>
        <v>0</v>
      </c>
      <c r="J103" s="85">
        <f>'приложение 8'!G359</f>
        <v>0</v>
      </c>
      <c r="K103" s="49">
        <f>'приложение 8'!J359</f>
        <v>0</v>
      </c>
      <c r="L103" s="49">
        <f>'приложение 8'!J359</f>
        <v>0</v>
      </c>
      <c r="M103" s="49">
        <f>'приложение 8'!K359</f>
        <v>0</v>
      </c>
    </row>
    <row r="104" spans="1:13" s="6" customFormat="1" ht="27.75" customHeight="1">
      <c r="A104" s="503"/>
      <c r="B104" s="523"/>
      <c r="C104" s="46" t="s">
        <v>118</v>
      </c>
      <c r="D104" s="54">
        <v>847</v>
      </c>
      <c r="E104" s="53" t="s">
        <v>163</v>
      </c>
      <c r="F104" s="38">
        <f>G104+H104+I104+J104+M104</f>
        <v>84959.18328</v>
      </c>
      <c r="G104" s="49">
        <f>'приложение 8'!D360</f>
        <v>60152.81448</v>
      </c>
      <c r="H104" s="49">
        <f>'приложение 8'!E360</f>
        <v>0</v>
      </c>
      <c r="I104" s="49">
        <f>'приложение 8'!F360</f>
        <v>15660</v>
      </c>
      <c r="J104" s="85">
        <f>'приложение 8'!G360</f>
        <v>9146.3688</v>
      </c>
      <c r="K104" s="49">
        <f>'приложение 8'!I360</f>
        <v>0</v>
      </c>
      <c r="L104" s="49">
        <f>'приложение 8'!J360</f>
        <v>0</v>
      </c>
      <c r="M104" s="49">
        <f>'приложение 8'!K360</f>
        <v>0</v>
      </c>
    </row>
    <row r="105" spans="1:13" s="5" customFormat="1" ht="24" customHeight="1">
      <c r="A105" s="503"/>
      <c r="B105" s="523"/>
      <c r="C105" s="45" t="s">
        <v>119</v>
      </c>
      <c r="D105" s="37"/>
      <c r="E105" s="56"/>
      <c r="F105" s="38">
        <f>G105+H105+I105+J105+M105</f>
        <v>16590.89365</v>
      </c>
      <c r="G105" s="49">
        <f>'приложение 8'!D361</f>
        <v>9409.58745</v>
      </c>
      <c r="H105" s="38">
        <f>'приложение 8'!E361</f>
        <v>0</v>
      </c>
      <c r="I105" s="49">
        <f>'приложение 8'!F361</f>
        <v>4894.714</v>
      </c>
      <c r="J105" s="85">
        <f>'приложение 8'!G361</f>
        <v>2286.5922</v>
      </c>
      <c r="K105" s="49">
        <f>'приложение 8'!I361</f>
        <v>0</v>
      </c>
      <c r="L105" s="49">
        <f>'приложение 8'!J361</f>
        <v>0</v>
      </c>
      <c r="M105" s="49">
        <f>'приложение 8'!K361</f>
        <v>0</v>
      </c>
    </row>
    <row r="106" spans="1:13" s="5" customFormat="1" ht="37.5">
      <c r="A106" s="503"/>
      <c r="B106" s="523"/>
      <c r="C106" s="45" t="s">
        <v>120</v>
      </c>
      <c r="D106" s="37"/>
      <c r="E106" s="56"/>
      <c r="F106" s="38">
        <f>G106+H106+I106+J106+M106</f>
        <v>0</v>
      </c>
      <c r="G106" s="49">
        <f>'приложение 8'!D362</f>
        <v>0</v>
      </c>
      <c r="H106" s="49">
        <f>'приложение 8'!E362</f>
        <v>0</v>
      </c>
      <c r="I106" s="49">
        <f>'приложение 8'!F362</f>
        <v>0</v>
      </c>
      <c r="J106" s="85">
        <f>'приложение 8'!G362</f>
        <v>0</v>
      </c>
      <c r="K106" s="49">
        <f>'приложение 8'!J362</f>
        <v>0</v>
      </c>
      <c r="L106" s="49">
        <f>'приложение 8'!J362</f>
        <v>0</v>
      </c>
      <c r="M106" s="49">
        <f>'приложение 8'!K362</f>
        <v>0</v>
      </c>
    </row>
    <row r="107" spans="1:13" s="5" customFormat="1" ht="38.25" customHeight="1">
      <c r="A107" s="503"/>
      <c r="B107" s="523"/>
      <c r="C107" s="45" t="s">
        <v>192</v>
      </c>
      <c r="D107" s="37"/>
      <c r="E107" s="56"/>
      <c r="F107" s="38"/>
      <c r="G107" s="49"/>
      <c r="H107" s="49"/>
      <c r="I107" s="49"/>
      <c r="J107" s="85"/>
      <c r="K107" s="49"/>
      <c r="L107" s="49"/>
      <c r="M107" s="49"/>
    </row>
    <row r="108" spans="1:13" s="5" customFormat="1" ht="56.25">
      <c r="A108" s="503"/>
      <c r="B108" s="523"/>
      <c r="C108" s="45" t="s">
        <v>178</v>
      </c>
      <c r="D108" s="37"/>
      <c r="E108" s="56"/>
      <c r="F108" s="49"/>
      <c r="G108" s="49"/>
      <c r="H108" s="49"/>
      <c r="I108" s="49"/>
      <c r="J108" s="85"/>
      <c r="K108" s="49"/>
      <c r="L108" s="49"/>
      <c r="M108" s="49"/>
    </row>
    <row r="109" spans="1:13" s="6" customFormat="1" ht="27.75" customHeight="1">
      <c r="A109" s="494" t="s">
        <v>132</v>
      </c>
      <c r="B109" s="488" t="s">
        <v>185</v>
      </c>
      <c r="C109" s="46" t="s">
        <v>116</v>
      </c>
      <c r="D109" s="52"/>
      <c r="E109" s="50"/>
      <c r="F109" s="47">
        <f aca="true" t="shared" si="27" ref="F109:F115">G109+H109+I109+J109+M109</f>
        <v>622580.75973</v>
      </c>
      <c r="G109" s="47">
        <f aca="true" t="shared" si="28" ref="G109:M109">G110+G111+G114+G115+G116</f>
        <v>0</v>
      </c>
      <c r="H109" s="47">
        <f t="shared" si="28"/>
        <v>44264.87</v>
      </c>
      <c r="I109" s="47">
        <f t="shared" si="28"/>
        <v>104988</v>
      </c>
      <c r="J109" s="84">
        <f t="shared" si="28"/>
        <v>238086.59973</v>
      </c>
      <c r="K109" s="47">
        <f t="shared" si="28"/>
        <v>153190.63815</v>
      </c>
      <c r="L109" s="47">
        <f t="shared" si="28"/>
        <v>225371.35</v>
      </c>
      <c r="M109" s="47">
        <f t="shared" si="28"/>
        <v>235241.29</v>
      </c>
    </row>
    <row r="110" spans="1:13" s="5" customFormat="1" ht="37.5">
      <c r="A110" s="494"/>
      <c r="B110" s="488"/>
      <c r="C110" s="45" t="s">
        <v>117</v>
      </c>
      <c r="D110" s="42"/>
      <c r="E110" s="48"/>
      <c r="F110" s="49">
        <f t="shared" si="27"/>
        <v>0</v>
      </c>
      <c r="G110" s="49">
        <f>'приложение 8'!D436</f>
        <v>0</v>
      </c>
      <c r="H110" s="49">
        <f>'приложение 8'!E436</f>
        <v>0</v>
      </c>
      <c r="I110" s="49">
        <f>'приложение 8'!F436</f>
        <v>0</v>
      </c>
      <c r="J110" s="85">
        <f>'приложение 8'!G436</f>
        <v>0</v>
      </c>
      <c r="K110" s="49">
        <f>'приложение 8'!J436</f>
        <v>0</v>
      </c>
      <c r="L110" s="49">
        <f>'приложение 8'!J436</f>
        <v>0</v>
      </c>
      <c r="M110" s="49">
        <f>'приложение 8'!K436</f>
        <v>0</v>
      </c>
    </row>
    <row r="111" spans="1:13" s="6" customFormat="1" ht="48" customHeight="1">
      <c r="A111" s="494"/>
      <c r="B111" s="488"/>
      <c r="C111" s="46" t="s">
        <v>122</v>
      </c>
      <c r="D111" s="50"/>
      <c r="E111" s="50"/>
      <c r="F111" s="47">
        <f t="shared" si="27"/>
        <v>622580.75973</v>
      </c>
      <c r="G111" s="47">
        <f aca="true" t="shared" si="29" ref="G111:M111">G112+G113</f>
        <v>0</v>
      </c>
      <c r="H111" s="47">
        <f t="shared" si="29"/>
        <v>44264.87</v>
      </c>
      <c r="I111" s="47">
        <f t="shared" si="29"/>
        <v>104988</v>
      </c>
      <c r="J111" s="84">
        <f t="shared" si="29"/>
        <v>238086.59973</v>
      </c>
      <c r="K111" s="47">
        <f t="shared" si="29"/>
        <v>153190.63815</v>
      </c>
      <c r="L111" s="47">
        <f t="shared" si="29"/>
        <v>225371.35</v>
      </c>
      <c r="M111" s="47">
        <f t="shared" si="29"/>
        <v>235241.29</v>
      </c>
    </row>
    <row r="112" spans="1:13" s="6" customFormat="1" ht="24" customHeight="1">
      <c r="A112" s="494"/>
      <c r="B112" s="488"/>
      <c r="C112" s="45" t="s">
        <v>118</v>
      </c>
      <c r="D112" s="50" t="s">
        <v>109</v>
      </c>
      <c r="E112" s="50" t="s">
        <v>163</v>
      </c>
      <c r="F112" s="47">
        <f t="shared" si="27"/>
        <v>58899.148</v>
      </c>
      <c r="G112" s="47">
        <f>'приложение 8'!D438</f>
        <v>0</v>
      </c>
      <c r="H112" s="47">
        <f>'приложение 8'!E438</f>
        <v>2410</v>
      </c>
      <c r="I112" s="47">
        <f>'приложение 8'!F438</f>
        <v>50988</v>
      </c>
      <c r="J112" s="84">
        <f>'приложение 8'!G438</f>
        <v>5501.148</v>
      </c>
      <c r="K112" s="47">
        <f>'приложение 8'!I438</f>
        <v>18210.484</v>
      </c>
      <c r="L112" s="47">
        <f>'приложение 8'!J438</f>
        <v>0</v>
      </c>
      <c r="M112" s="47">
        <f>'приложение 8'!K438</f>
        <v>0</v>
      </c>
    </row>
    <row r="113" spans="1:13" s="6" customFormat="1" ht="24" customHeight="1">
      <c r="A113" s="494"/>
      <c r="B113" s="488"/>
      <c r="C113" s="45" t="s">
        <v>118</v>
      </c>
      <c r="D113" s="50" t="s">
        <v>110</v>
      </c>
      <c r="E113" s="50" t="s">
        <v>163</v>
      </c>
      <c r="F113" s="47">
        <f t="shared" si="27"/>
        <v>563681.61173</v>
      </c>
      <c r="G113" s="47">
        <f>'приложение 8'!D439</f>
        <v>0</v>
      </c>
      <c r="H113" s="47">
        <f>'приложение 8'!E439</f>
        <v>41854.87</v>
      </c>
      <c r="I113" s="47">
        <f>'приложение 8'!F439</f>
        <v>54000</v>
      </c>
      <c r="J113" s="84">
        <f>'приложение 8'!G439</f>
        <v>232585.45173</v>
      </c>
      <c r="K113" s="47">
        <f>'приложение 8'!I439</f>
        <v>134980.15415000002</v>
      </c>
      <c r="L113" s="47">
        <f>'приложение 8'!J439</f>
        <v>225371.35</v>
      </c>
      <c r="M113" s="47">
        <f>'приложение 8'!K439</f>
        <v>235241.29</v>
      </c>
    </row>
    <row r="114" spans="1:13" s="5" customFormat="1" ht="24.75" customHeight="1">
      <c r="A114" s="494"/>
      <c r="B114" s="488"/>
      <c r="C114" s="45" t="s">
        <v>119</v>
      </c>
      <c r="D114" s="48"/>
      <c r="E114" s="48"/>
      <c r="F114" s="49">
        <f t="shared" si="27"/>
        <v>0</v>
      </c>
      <c r="G114" s="49">
        <f>'приложение 8'!D440</f>
        <v>0</v>
      </c>
      <c r="H114" s="49">
        <f>'приложение 8'!E440</f>
        <v>0</v>
      </c>
      <c r="I114" s="49">
        <f>'приложение 8'!F440</f>
        <v>0</v>
      </c>
      <c r="J114" s="85">
        <f>'приложение 8'!G440</f>
        <v>0</v>
      </c>
      <c r="K114" s="49">
        <f>'приложение 8'!J440</f>
        <v>0</v>
      </c>
      <c r="L114" s="49">
        <f>'приложение 8'!J440</f>
        <v>0</v>
      </c>
      <c r="M114" s="49">
        <f>'приложение 8'!K440</f>
        <v>0</v>
      </c>
    </row>
    <row r="115" spans="1:13" s="5" customFormat="1" ht="37.5">
      <c r="A115" s="494"/>
      <c r="B115" s="488"/>
      <c r="C115" s="45" t="s">
        <v>120</v>
      </c>
      <c r="D115" s="48"/>
      <c r="E115" s="48"/>
      <c r="F115" s="49">
        <f t="shared" si="27"/>
        <v>0</v>
      </c>
      <c r="G115" s="49">
        <f>'приложение 8'!D441</f>
        <v>0</v>
      </c>
      <c r="H115" s="49">
        <f>'приложение 8'!E441</f>
        <v>0</v>
      </c>
      <c r="I115" s="49">
        <f>'приложение 8'!F441</f>
        <v>0</v>
      </c>
      <c r="J115" s="85">
        <f>'приложение 8'!G441</f>
        <v>0</v>
      </c>
      <c r="K115" s="49">
        <f>'приложение 8'!J441</f>
        <v>0</v>
      </c>
      <c r="L115" s="49">
        <f>'приложение 8'!J441</f>
        <v>0</v>
      </c>
      <c r="M115" s="49">
        <f>'приложение 8'!K441</f>
        <v>0</v>
      </c>
    </row>
    <row r="116" spans="1:13" s="5" customFormat="1" ht="36.75" customHeight="1">
      <c r="A116" s="494"/>
      <c r="B116" s="488"/>
      <c r="C116" s="45" t="s">
        <v>192</v>
      </c>
      <c r="D116" s="48"/>
      <c r="E116" s="48"/>
      <c r="F116" s="49"/>
      <c r="G116" s="49"/>
      <c r="H116" s="49"/>
      <c r="I116" s="49"/>
      <c r="J116" s="85"/>
      <c r="K116" s="49"/>
      <c r="L116" s="49"/>
      <c r="M116" s="49"/>
    </row>
    <row r="117" spans="1:13" s="5" customFormat="1" ht="56.25">
      <c r="A117" s="494"/>
      <c r="B117" s="488"/>
      <c r="C117" s="45" t="s">
        <v>178</v>
      </c>
      <c r="D117" s="48"/>
      <c r="E117" s="48"/>
      <c r="F117" s="49"/>
      <c r="G117" s="49"/>
      <c r="H117" s="49"/>
      <c r="I117" s="49"/>
      <c r="J117" s="85"/>
      <c r="K117" s="49"/>
      <c r="L117" s="49"/>
      <c r="M117" s="49"/>
    </row>
    <row r="118" spans="1:13" s="6" customFormat="1" ht="27.75" customHeight="1">
      <c r="A118" s="494" t="s">
        <v>133</v>
      </c>
      <c r="B118" s="488" t="s">
        <v>186</v>
      </c>
      <c r="C118" s="46" t="s">
        <v>116</v>
      </c>
      <c r="D118" s="52"/>
      <c r="E118" s="50"/>
      <c r="F118" s="47">
        <f>G118+H118+I118+J118+M118+K118</f>
        <v>1147087.64656</v>
      </c>
      <c r="G118" s="47">
        <f aca="true" t="shared" si="30" ref="G118:M118">G119+G120</f>
        <v>353516.682</v>
      </c>
      <c r="H118" s="47">
        <f t="shared" si="30"/>
        <v>348802.04000000004</v>
      </c>
      <c r="I118" s="47">
        <f t="shared" si="30"/>
        <v>232790.64661999998</v>
      </c>
      <c r="J118" s="84">
        <f t="shared" si="30"/>
        <v>68384.56394</v>
      </c>
      <c r="K118" s="47">
        <f t="shared" si="30"/>
        <v>143593.714</v>
      </c>
      <c r="L118" s="47">
        <f t="shared" si="30"/>
        <v>0</v>
      </c>
      <c r="M118" s="47">
        <f t="shared" si="30"/>
        <v>0</v>
      </c>
    </row>
    <row r="119" spans="1:13" s="5" customFormat="1" ht="37.5">
      <c r="A119" s="503"/>
      <c r="B119" s="488"/>
      <c r="C119" s="45" t="s">
        <v>117</v>
      </c>
      <c r="D119" s="48" t="s">
        <v>109</v>
      </c>
      <c r="E119" s="48" t="s">
        <v>163</v>
      </c>
      <c r="F119" s="49">
        <f>SUM(G119:M119)</f>
        <v>125000</v>
      </c>
      <c r="G119" s="49">
        <f>'приложение 8'!D546</f>
        <v>30000</v>
      </c>
      <c r="H119" s="49">
        <f>'приложение 8'!E546</f>
        <v>95000</v>
      </c>
      <c r="I119" s="49">
        <f>'приложение 8'!F546</f>
        <v>0</v>
      </c>
      <c r="J119" s="85">
        <f>'приложение 8'!G546</f>
        <v>0</v>
      </c>
      <c r="K119" s="49">
        <f>'приложение 8'!I546</f>
        <v>0</v>
      </c>
      <c r="L119" s="49">
        <f>'приложение 8'!J546</f>
        <v>0</v>
      </c>
      <c r="M119" s="49">
        <f>'приложение 8'!K546</f>
        <v>0</v>
      </c>
    </row>
    <row r="120" spans="1:13" s="6" customFormat="1" ht="37.5">
      <c r="A120" s="503"/>
      <c r="B120" s="488"/>
      <c r="C120" s="46" t="s">
        <v>122</v>
      </c>
      <c r="D120" s="52"/>
      <c r="E120" s="50"/>
      <c r="F120" s="47">
        <f>G120+H120+I120+J120+M120+K120</f>
        <v>1022087.64656</v>
      </c>
      <c r="G120" s="47">
        <f>'приложение 8'!D547</f>
        <v>323516.682</v>
      </c>
      <c r="H120" s="47">
        <f>'приложение 8'!E547</f>
        <v>253802.04</v>
      </c>
      <c r="I120" s="47">
        <f>'приложение 8'!F547</f>
        <v>232790.64661999998</v>
      </c>
      <c r="J120" s="84">
        <f>'приложение 8'!G547</f>
        <v>68384.56394</v>
      </c>
      <c r="K120" s="47">
        <f>'приложение 8'!I547</f>
        <v>143593.714</v>
      </c>
      <c r="L120" s="47">
        <f>'приложение 8'!J547</f>
        <v>0</v>
      </c>
      <c r="M120" s="47">
        <f>'приложение 8'!K547</f>
        <v>0</v>
      </c>
    </row>
    <row r="121" spans="1:13" s="5" customFormat="1" ht="27.75" customHeight="1">
      <c r="A121" s="503"/>
      <c r="B121" s="488"/>
      <c r="C121" s="45" t="s">
        <v>118</v>
      </c>
      <c r="D121" s="48" t="s">
        <v>109</v>
      </c>
      <c r="E121" s="48" t="s">
        <v>163</v>
      </c>
      <c r="F121" s="49">
        <f>G121+H121+I121+J121+M121</f>
        <v>814865.3522200001</v>
      </c>
      <c r="G121" s="49">
        <f>'приложение 8'!D548</f>
        <v>323120.682</v>
      </c>
      <c r="H121" s="49">
        <f>'приложение 8'!E548</f>
        <v>223758</v>
      </c>
      <c r="I121" s="49">
        <f>'приложение 8'!F548</f>
        <v>223106.22952</v>
      </c>
      <c r="J121" s="85">
        <f>'приложение 8'!G548</f>
        <v>44880.4407</v>
      </c>
      <c r="K121" s="49">
        <f>'приложение 8'!I548</f>
        <v>125393.714</v>
      </c>
      <c r="L121" s="49">
        <f>'приложение 8'!J548</f>
        <v>0</v>
      </c>
      <c r="M121" s="49">
        <f>'приложение 8'!K548</f>
        <v>0</v>
      </c>
    </row>
    <row r="122" spans="1:13" s="5" customFormat="1" ht="27.75" customHeight="1">
      <c r="A122" s="503"/>
      <c r="B122" s="488"/>
      <c r="C122" s="45" t="s">
        <v>118</v>
      </c>
      <c r="D122" s="48" t="s">
        <v>110</v>
      </c>
      <c r="E122" s="48" t="s">
        <v>163</v>
      </c>
      <c r="F122" s="49">
        <f>G122+H122+I122+J122+M122+K122</f>
        <v>81828.58034</v>
      </c>
      <c r="G122" s="49">
        <f>'приложение 8'!D549</f>
        <v>396</v>
      </c>
      <c r="H122" s="49">
        <f>'приложение 8'!E549</f>
        <v>30044.04</v>
      </c>
      <c r="I122" s="49">
        <f>'приложение 8'!F549</f>
        <v>9684.4171</v>
      </c>
      <c r="J122" s="85">
        <f>'приложение 8'!G549</f>
        <v>23504.12324</v>
      </c>
      <c r="K122" s="49">
        <f>'приложение 8'!I549</f>
        <v>18200</v>
      </c>
      <c r="L122" s="49">
        <f>'приложение 8'!J549</f>
        <v>0</v>
      </c>
      <c r="M122" s="49">
        <f>'приложение 8'!K549</f>
        <v>0</v>
      </c>
    </row>
    <row r="123" spans="1:13" s="5" customFormat="1" ht="27.75" customHeight="1">
      <c r="A123" s="503"/>
      <c r="B123" s="488"/>
      <c r="C123" s="45" t="s">
        <v>119</v>
      </c>
      <c r="D123" s="48"/>
      <c r="E123" s="48"/>
      <c r="F123" s="49">
        <f>G123+H123+I123+J123+M123</f>
        <v>0</v>
      </c>
      <c r="G123" s="49">
        <f>'приложение 8'!D550</f>
        <v>0</v>
      </c>
      <c r="H123" s="49">
        <f>'приложение 8'!E550</f>
        <v>0</v>
      </c>
      <c r="I123" s="49">
        <f>'приложение 8'!F550</f>
        <v>0</v>
      </c>
      <c r="J123" s="85">
        <f>'приложение 8'!G550</f>
        <v>0</v>
      </c>
      <c r="K123" s="49">
        <f>'приложение 8'!J550</f>
        <v>0</v>
      </c>
      <c r="L123" s="49">
        <f>'приложение 8'!J550</f>
        <v>0</v>
      </c>
      <c r="M123" s="49">
        <f>'приложение 8'!K550</f>
        <v>0</v>
      </c>
    </row>
    <row r="124" spans="1:13" s="5" customFormat="1" ht="37.5">
      <c r="A124" s="503"/>
      <c r="B124" s="488"/>
      <c r="C124" s="45" t="s">
        <v>120</v>
      </c>
      <c r="D124" s="48"/>
      <c r="E124" s="48"/>
      <c r="F124" s="49"/>
      <c r="G124" s="49"/>
      <c r="H124" s="49"/>
      <c r="I124" s="49"/>
      <c r="J124" s="85"/>
      <c r="K124" s="49"/>
      <c r="L124" s="49"/>
      <c r="M124" s="49"/>
    </row>
    <row r="125" spans="1:13" s="5" customFormat="1" ht="37.5">
      <c r="A125" s="503"/>
      <c r="B125" s="488"/>
      <c r="C125" s="45" t="s">
        <v>192</v>
      </c>
      <c r="D125" s="48"/>
      <c r="E125" s="48"/>
      <c r="F125" s="49"/>
      <c r="G125" s="49"/>
      <c r="H125" s="49"/>
      <c r="I125" s="49"/>
      <c r="J125" s="85"/>
      <c r="K125" s="49"/>
      <c r="L125" s="49"/>
      <c r="M125" s="49"/>
    </row>
    <row r="126" spans="1:13" s="5" customFormat="1" ht="56.25">
      <c r="A126" s="503"/>
      <c r="B126" s="488"/>
      <c r="C126" s="45" t="s">
        <v>178</v>
      </c>
      <c r="D126" s="48"/>
      <c r="E126" s="48"/>
      <c r="F126" s="49"/>
      <c r="G126" s="49"/>
      <c r="H126" s="49"/>
      <c r="I126" s="49"/>
      <c r="J126" s="85"/>
      <c r="K126" s="49"/>
      <c r="L126" s="49"/>
      <c r="M126" s="49"/>
    </row>
    <row r="127" spans="1:13" s="6" customFormat="1" ht="27.75" customHeight="1">
      <c r="A127" s="494" t="s">
        <v>167</v>
      </c>
      <c r="B127" s="491" t="s">
        <v>209</v>
      </c>
      <c r="C127" s="46" t="s">
        <v>116</v>
      </c>
      <c r="D127" s="52"/>
      <c r="E127" s="50"/>
      <c r="F127" s="47">
        <f aca="true" t="shared" si="31" ref="F127:M127">F128+F129+F131+F132+F133</f>
        <v>0</v>
      </c>
      <c r="G127" s="47">
        <f t="shared" si="31"/>
        <v>0</v>
      </c>
      <c r="H127" s="47">
        <f t="shared" si="31"/>
        <v>0</v>
      </c>
      <c r="I127" s="47">
        <f>I128+I129</f>
        <v>0</v>
      </c>
      <c r="J127" s="84">
        <f t="shared" si="31"/>
        <v>0</v>
      </c>
      <c r="K127" s="47">
        <f>K128+K129+K131+K132+K133</f>
        <v>0</v>
      </c>
      <c r="L127" s="47">
        <f>L128+L129+L131+L132+L133</f>
        <v>0</v>
      </c>
      <c r="M127" s="47">
        <f t="shared" si="31"/>
        <v>0</v>
      </c>
    </row>
    <row r="128" spans="1:13" s="5" customFormat="1" ht="18" customHeight="1">
      <c r="A128" s="503"/>
      <c r="B128" s="518"/>
      <c r="C128" s="45" t="s">
        <v>117</v>
      </c>
      <c r="D128" s="48" t="s">
        <v>109</v>
      </c>
      <c r="E128" s="48" t="s">
        <v>163</v>
      </c>
      <c r="F128" s="57">
        <f aca="true" t="shared" si="32" ref="F128:F134">SUM(G128:M128)</f>
        <v>0</v>
      </c>
      <c r="G128" s="49">
        <f>'приложение 8'!D654</f>
        <v>0</v>
      </c>
      <c r="H128" s="49">
        <f>'приложение 8'!E654</f>
        <v>0</v>
      </c>
      <c r="I128" s="49">
        <f>-'приложение 8'!F653</f>
        <v>0</v>
      </c>
      <c r="J128" s="85">
        <f>'приложение 8'!G654</f>
        <v>0</v>
      </c>
      <c r="K128" s="49">
        <f>'приложение 8'!J654</f>
        <v>0</v>
      </c>
      <c r="L128" s="49">
        <f>'приложение 8'!J654</f>
        <v>0</v>
      </c>
      <c r="M128" s="49">
        <f>'приложение 8'!K654</f>
        <v>0</v>
      </c>
    </row>
    <row r="129" spans="1:13" s="6" customFormat="1" ht="17.25" customHeight="1">
      <c r="A129" s="503"/>
      <c r="B129" s="518"/>
      <c r="C129" s="46" t="s">
        <v>122</v>
      </c>
      <c r="D129" s="52"/>
      <c r="E129" s="50"/>
      <c r="F129" s="58">
        <f>SUM(G129:M129)</f>
        <v>0</v>
      </c>
      <c r="G129" s="47">
        <f aca="true" t="shared" si="33" ref="G129:M129">G130</f>
        <v>0</v>
      </c>
      <c r="H129" s="47">
        <f t="shared" si="33"/>
        <v>0</v>
      </c>
      <c r="I129" s="47">
        <f t="shared" si="33"/>
        <v>0</v>
      </c>
      <c r="J129" s="84">
        <f t="shared" si="33"/>
        <v>0</v>
      </c>
      <c r="K129" s="47">
        <f t="shared" si="33"/>
        <v>0</v>
      </c>
      <c r="L129" s="47">
        <f t="shared" si="33"/>
        <v>0</v>
      </c>
      <c r="M129" s="47">
        <f t="shared" si="33"/>
        <v>0</v>
      </c>
    </row>
    <row r="130" spans="1:13" s="13" customFormat="1" ht="21.75" customHeight="1">
      <c r="A130" s="503"/>
      <c r="B130" s="518"/>
      <c r="C130" s="45" t="s">
        <v>118</v>
      </c>
      <c r="D130" s="48" t="s">
        <v>109</v>
      </c>
      <c r="E130" s="48" t="s">
        <v>163</v>
      </c>
      <c r="F130" s="59">
        <f t="shared" si="32"/>
        <v>0</v>
      </c>
      <c r="G130" s="49">
        <f>'приложение 8'!D655</f>
        <v>0</v>
      </c>
      <c r="H130" s="49">
        <f>'приложение 8'!E655</f>
        <v>0</v>
      </c>
      <c r="I130" s="49"/>
      <c r="J130" s="85">
        <f>'приложение 8'!G655</f>
        <v>0</v>
      </c>
      <c r="K130" s="49">
        <f>'приложение 8'!J655</f>
        <v>0</v>
      </c>
      <c r="L130" s="49">
        <f>'приложение 8'!J655</f>
        <v>0</v>
      </c>
      <c r="M130" s="49">
        <f>'приложение 8'!K655</f>
        <v>0</v>
      </c>
    </row>
    <row r="131" spans="1:13" s="5" customFormat="1" ht="24.75" customHeight="1">
      <c r="A131" s="503"/>
      <c r="B131" s="518"/>
      <c r="C131" s="45" t="s">
        <v>119</v>
      </c>
      <c r="D131" s="48"/>
      <c r="E131" s="48"/>
      <c r="F131" s="57">
        <f t="shared" si="32"/>
        <v>0</v>
      </c>
      <c r="G131" s="49">
        <f>'приложение 8'!D656</f>
        <v>0</v>
      </c>
      <c r="H131" s="49">
        <f>'приложение 8'!E656</f>
        <v>0</v>
      </c>
      <c r="I131" s="49">
        <f>'приложение 8'!F656</f>
        <v>0</v>
      </c>
      <c r="J131" s="85">
        <f>'приложение 8'!G656</f>
        <v>0</v>
      </c>
      <c r="K131" s="49">
        <f>'приложение 8'!J656</f>
        <v>0</v>
      </c>
      <c r="L131" s="49">
        <f>'приложение 8'!J656</f>
        <v>0</v>
      </c>
      <c r="M131" s="49">
        <f>'приложение 8'!K656</f>
        <v>0</v>
      </c>
    </row>
    <row r="132" spans="1:13" s="5" customFormat="1" ht="18" customHeight="1">
      <c r="A132" s="503"/>
      <c r="B132" s="518"/>
      <c r="C132" s="45" t="s">
        <v>120</v>
      </c>
      <c r="D132" s="48"/>
      <c r="E132" s="48"/>
      <c r="F132" s="57">
        <f t="shared" si="32"/>
        <v>0</v>
      </c>
      <c r="G132" s="49">
        <f>'приложение 8'!D657</f>
        <v>0</v>
      </c>
      <c r="H132" s="49">
        <f>'приложение 8'!E657</f>
        <v>0</v>
      </c>
      <c r="I132" s="49">
        <f>'приложение 8'!F657</f>
        <v>0</v>
      </c>
      <c r="J132" s="85">
        <f>'приложение 8'!G657</f>
        <v>0</v>
      </c>
      <c r="K132" s="49">
        <f>'приложение 8'!J657</f>
        <v>0</v>
      </c>
      <c r="L132" s="49">
        <f>'приложение 8'!J657</f>
        <v>0</v>
      </c>
      <c r="M132" s="49">
        <f>'приложение 8'!K657</f>
        <v>0</v>
      </c>
    </row>
    <row r="133" spans="1:13" s="5" customFormat="1" ht="18" customHeight="1">
      <c r="A133" s="503"/>
      <c r="B133" s="518"/>
      <c r="C133" s="45" t="s">
        <v>192</v>
      </c>
      <c r="D133" s="48"/>
      <c r="E133" s="48"/>
      <c r="F133" s="57">
        <f t="shared" si="32"/>
        <v>0</v>
      </c>
      <c r="G133" s="49"/>
      <c r="H133" s="49"/>
      <c r="I133" s="49"/>
      <c r="J133" s="85"/>
      <c r="K133" s="49"/>
      <c r="L133" s="49"/>
      <c r="M133" s="49"/>
    </row>
    <row r="134" spans="1:13" s="5" customFormat="1" ht="63" customHeight="1">
      <c r="A134" s="503"/>
      <c r="B134" s="519"/>
      <c r="C134" s="45" t="s">
        <v>178</v>
      </c>
      <c r="D134" s="48"/>
      <c r="E134" s="48"/>
      <c r="F134" s="57">
        <f t="shared" si="32"/>
        <v>0</v>
      </c>
      <c r="G134" s="49"/>
      <c r="H134" s="49"/>
      <c r="I134" s="49"/>
      <c r="J134" s="85"/>
      <c r="K134" s="49"/>
      <c r="L134" s="49"/>
      <c r="M134" s="49"/>
    </row>
    <row r="135" spans="1:13" s="6" customFormat="1" ht="27.75" customHeight="1">
      <c r="A135" s="520" t="s">
        <v>84</v>
      </c>
      <c r="B135" s="491" t="s">
        <v>187</v>
      </c>
      <c r="C135" s="46" t="s">
        <v>116</v>
      </c>
      <c r="D135" s="52"/>
      <c r="E135" s="50"/>
      <c r="F135" s="47">
        <f>G135+H135+I135+J135+K135+L135+M135</f>
        <v>473184.17544</v>
      </c>
      <c r="G135" s="47">
        <f aca="true" t="shared" si="34" ref="G135:M135">G136+G138+G139+G141+G142+G143+G144</f>
        <v>36189.82653</v>
      </c>
      <c r="H135" s="47">
        <f t="shared" si="34"/>
        <v>46428.40991</v>
      </c>
      <c r="I135" s="47">
        <f t="shared" si="34"/>
        <v>42645.119999999995</v>
      </c>
      <c r="J135" s="84">
        <f>J136+J138+J139+J141+J142+J143+J144+J140</f>
        <v>227650.719</v>
      </c>
      <c r="K135" s="47">
        <f t="shared" si="34"/>
        <v>103500</v>
      </c>
      <c r="L135" s="47">
        <f t="shared" si="34"/>
        <v>0</v>
      </c>
      <c r="M135" s="47">
        <f t="shared" si="34"/>
        <v>16770.1</v>
      </c>
    </row>
    <row r="136" spans="1:13" s="5" customFormat="1" ht="29.25" customHeight="1">
      <c r="A136" s="521"/>
      <c r="B136" s="518"/>
      <c r="C136" s="45" t="s">
        <v>117</v>
      </c>
      <c r="D136" s="42"/>
      <c r="E136" s="48"/>
      <c r="F136" s="49">
        <f aca="true" t="shared" si="35" ref="F136:F144">G136+H136+I136+J136+M136</f>
        <v>0</v>
      </c>
      <c r="G136" s="49">
        <f aca="true" t="shared" si="36" ref="G136:M136">G146+G154+G164+G172</f>
        <v>0</v>
      </c>
      <c r="H136" s="49">
        <f t="shared" si="36"/>
        <v>0</v>
      </c>
      <c r="I136" s="49">
        <f t="shared" si="36"/>
        <v>0</v>
      </c>
      <c r="J136" s="85">
        <f t="shared" si="36"/>
        <v>0</v>
      </c>
      <c r="K136" s="49">
        <f t="shared" si="36"/>
        <v>0</v>
      </c>
      <c r="L136" s="49">
        <f t="shared" si="36"/>
        <v>0</v>
      </c>
      <c r="M136" s="49">
        <f t="shared" si="36"/>
        <v>0</v>
      </c>
    </row>
    <row r="137" spans="1:13" s="5" customFormat="1" ht="27.75" customHeight="1">
      <c r="A137" s="521"/>
      <c r="B137" s="518"/>
      <c r="C137" s="46" t="s">
        <v>118</v>
      </c>
      <c r="D137" s="52"/>
      <c r="E137" s="50"/>
      <c r="F137" s="47">
        <f>G137+H137+I137+J137+K137+L137+M137</f>
        <v>473184.17544</v>
      </c>
      <c r="G137" s="47">
        <f>G138+G139</f>
        <v>36189.82653</v>
      </c>
      <c r="H137" s="47">
        <f>H138+H139</f>
        <v>46428.40991</v>
      </c>
      <c r="I137" s="47">
        <f>I138+I139</f>
        <v>42645.119999999995</v>
      </c>
      <c r="J137" s="84">
        <f>J138+J139+J140</f>
        <v>227650.719</v>
      </c>
      <c r="K137" s="47">
        <f>K138+K139+K140</f>
        <v>103500</v>
      </c>
      <c r="L137" s="47">
        <f>L138+L139+L140</f>
        <v>0</v>
      </c>
      <c r="M137" s="47">
        <f>M138+M139+M140</f>
        <v>16770.1</v>
      </c>
    </row>
    <row r="138" spans="1:13" s="6" customFormat="1" ht="27.75" customHeight="1">
      <c r="A138" s="521"/>
      <c r="B138" s="518"/>
      <c r="C138" s="45" t="s">
        <v>118</v>
      </c>
      <c r="D138" s="48" t="s">
        <v>109</v>
      </c>
      <c r="E138" s="48" t="s">
        <v>212</v>
      </c>
      <c r="F138" s="49">
        <f>G138+H138+I138+J138+K138+L138+M138</f>
        <v>155382.23976</v>
      </c>
      <c r="G138" s="49">
        <f aca="true" t="shared" si="37" ref="G138:M138">G147+G155+G165+G173</f>
        <v>34689.82653</v>
      </c>
      <c r="H138" s="49">
        <f t="shared" si="37"/>
        <v>37165.40991</v>
      </c>
      <c r="I138" s="49">
        <f t="shared" si="37"/>
        <v>42645.119999999995</v>
      </c>
      <c r="J138" s="85">
        <f t="shared" si="37"/>
        <v>24111.783320000002</v>
      </c>
      <c r="K138" s="49">
        <f t="shared" si="37"/>
        <v>0</v>
      </c>
      <c r="L138" s="49">
        <f t="shared" si="37"/>
        <v>0</v>
      </c>
      <c r="M138" s="49">
        <f t="shared" si="37"/>
        <v>16770.1</v>
      </c>
    </row>
    <row r="139" spans="1:13" s="6" customFormat="1" ht="27.75" customHeight="1">
      <c r="A139" s="521"/>
      <c r="B139" s="518"/>
      <c r="C139" s="45" t="s">
        <v>118</v>
      </c>
      <c r="D139" s="48" t="s">
        <v>110</v>
      </c>
      <c r="E139" s="48" t="s">
        <v>212</v>
      </c>
      <c r="F139" s="49">
        <f t="shared" si="35"/>
        <v>193588.263</v>
      </c>
      <c r="G139" s="49">
        <f aca="true" t="shared" si="38" ref="G139:M139">G181</f>
        <v>1500</v>
      </c>
      <c r="H139" s="49">
        <f t="shared" si="38"/>
        <v>9263</v>
      </c>
      <c r="I139" s="49">
        <f t="shared" si="38"/>
        <v>0</v>
      </c>
      <c r="J139" s="85">
        <f t="shared" si="38"/>
        <v>182825.263</v>
      </c>
      <c r="K139" s="49">
        <f t="shared" si="38"/>
        <v>103500</v>
      </c>
      <c r="L139" s="49">
        <f t="shared" si="38"/>
        <v>0</v>
      </c>
      <c r="M139" s="49">
        <f t="shared" si="38"/>
        <v>0</v>
      </c>
    </row>
    <row r="140" spans="1:13" s="6" customFormat="1" ht="27.75" customHeight="1">
      <c r="A140" s="521"/>
      <c r="B140" s="518"/>
      <c r="C140" s="45" t="s">
        <v>118</v>
      </c>
      <c r="D140" s="48" t="s">
        <v>142</v>
      </c>
      <c r="E140" s="48" t="s">
        <v>212</v>
      </c>
      <c r="F140" s="49"/>
      <c r="G140" s="49"/>
      <c r="H140" s="49"/>
      <c r="I140" s="49"/>
      <c r="J140" s="85">
        <f>J148+J158+J166+J174</f>
        <v>20713.67268</v>
      </c>
      <c r="K140" s="49">
        <v>0</v>
      </c>
      <c r="L140" s="49">
        <v>0</v>
      </c>
      <c r="M140" s="49">
        <v>0</v>
      </c>
    </row>
    <row r="141" spans="1:13" s="5" customFormat="1" ht="24.75" customHeight="1">
      <c r="A141" s="521"/>
      <c r="B141" s="518"/>
      <c r="C141" s="45" t="s">
        <v>119</v>
      </c>
      <c r="D141" s="48"/>
      <c r="E141" s="48"/>
      <c r="F141" s="49">
        <f t="shared" si="35"/>
        <v>0</v>
      </c>
      <c r="G141" s="49">
        <f aca="true" t="shared" si="39" ref="G141:M144">G149+G159+G167+G175</f>
        <v>0</v>
      </c>
      <c r="H141" s="49">
        <f t="shared" si="39"/>
        <v>0</v>
      </c>
      <c r="I141" s="49">
        <f t="shared" si="39"/>
        <v>0</v>
      </c>
      <c r="J141" s="85">
        <f t="shared" si="39"/>
        <v>0</v>
      </c>
      <c r="K141" s="49">
        <f t="shared" si="39"/>
        <v>0</v>
      </c>
      <c r="L141" s="49">
        <f t="shared" si="39"/>
        <v>0</v>
      </c>
      <c r="M141" s="49">
        <f t="shared" si="39"/>
        <v>0</v>
      </c>
    </row>
    <row r="142" spans="1:13" s="5" customFormat="1" ht="37.5">
      <c r="A142" s="521"/>
      <c r="B142" s="518"/>
      <c r="C142" s="45" t="s">
        <v>120</v>
      </c>
      <c r="D142" s="48"/>
      <c r="E142" s="48"/>
      <c r="F142" s="49">
        <f t="shared" si="35"/>
        <v>0</v>
      </c>
      <c r="G142" s="49">
        <f t="shared" si="39"/>
        <v>0</v>
      </c>
      <c r="H142" s="49">
        <f t="shared" si="39"/>
        <v>0</v>
      </c>
      <c r="I142" s="49">
        <f t="shared" si="39"/>
        <v>0</v>
      </c>
      <c r="J142" s="85">
        <f t="shared" si="39"/>
        <v>0</v>
      </c>
      <c r="K142" s="49">
        <f t="shared" si="39"/>
        <v>0</v>
      </c>
      <c r="L142" s="49">
        <f t="shared" si="39"/>
        <v>0</v>
      </c>
      <c r="M142" s="49">
        <f t="shared" si="39"/>
        <v>0</v>
      </c>
    </row>
    <row r="143" spans="1:13" s="5" customFormat="1" ht="37.5">
      <c r="A143" s="521"/>
      <c r="B143" s="518"/>
      <c r="C143" s="45" t="s">
        <v>192</v>
      </c>
      <c r="D143" s="48"/>
      <c r="E143" s="48"/>
      <c r="F143" s="49">
        <f t="shared" si="35"/>
        <v>0</v>
      </c>
      <c r="G143" s="49">
        <f t="shared" si="39"/>
        <v>0</v>
      </c>
      <c r="H143" s="49">
        <f t="shared" si="39"/>
        <v>0</v>
      </c>
      <c r="I143" s="49">
        <f t="shared" si="39"/>
        <v>0</v>
      </c>
      <c r="J143" s="85">
        <f t="shared" si="39"/>
        <v>0</v>
      </c>
      <c r="K143" s="49">
        <f t="shared" si="39"/>
        <v>0</v>
      </c>
      <c r="L143" s="49">
        <f t="shared" si="39"/>
        <v>0</v>
      </c>
      <c r="M143" s="49">
        <f t="shared" si="39"/>
        <v>0</v>
      </c>
    </row>
    <row r="144" spans="1:13" s="5" customFormat="1" ht="56.25">
      <c r="A144" s="522"/>
      <c r="B144" s="519"/>
      <c r="C144" s="45" t="s">
        <v>178</v>
      </c>
      <c r="D144" s="48"/>
      <c r="E144" s="48"/>
      <c r="F144" s="49">
        <f t="shared" si="35"/>
        <v>0</v>
      </c>
      <c r="G144" s="49">
        <f t="shared" si="39"/>
        <v>0</v>
      </c>
      <c r="H144" s="49">
        <f t="shared" si="39"/>
        <v>0</v>
      </c>
      <c r="I144" s="49">
        <f t="shared" si="39"/>
        <v>0</v>
      </c>
      <c r="J144" s="85">
        <f t="shared" si="39"/>
        <v>0</v>
      </c>
      <c r="K144" s="49">
        <f t="shared" si="39"/>
        <v>0</v>
      </c>
      <c r="L144" s="49">
        <f t="shared" si="39"/>
        <v>0</v>
      </c>
      <c r="M144" s="49">
        <f t="shared" si="39"/>
        <v>0</v>
      </c>
    </row>
    <row r="145" spans="1:13" s="6" customFormat="1" ht="27.75" customHeight="1">
      <c r="A145" s="503" t="s">
        <v>134</v>
      </c>
      <c r="B145" s="488" t="s">
        <v>135</v>
      </c>
      <c r="C145" s="46" t="s">
        <v>116</v>
      </c>
      <c r="D145" s="52"/>
      <c r="E145" s="50"/>
      <c r="F145" s="73">
        <f>G145+H145+I145+J145+K145+L145+M145</f>
        <v>9986.234639999999</v>
      </c>
      <c r="G145" s="47">
        <f aca="true" t="shared" si="40" ref="G145:M145">G146+G147+G149+G150+G151+G152</f>
        <v>2037.474</v>
      </c>
      <c r="H145" s="47">
        <f t="shared" si="40"/>
        <v>1715.9981400000001</v>
      </c>
      <c r="I145" s="47">
        <f t="shared" si="40"/>
        <v>2724.9525</v>
      </c>
      <c r="J145" s="84">
        <f>J146+J147+J149+J150+J151+J152+J148</f>
        <v>1612.81</v>
      </c>
      <c r="K145" s="47">
        <f t="shared" si="40"/>
        <v>0</v>
      </c>
      <c r="L145" s="47">
        <f t="shared" si="40"/>
        <v>0</v>
      </c>
      <c r="M145" s="47">
        <f t="shared" si="40"/>
        <v>1895</v>
      </c>
    </row>
    <row r="146" spans="1:13" s="5" customFormat="1" ht="37.5">
      <c r="A146" s="503"/>
      <c r="B146" s="488"/>
      <c r="C146" s="45" t="s">
        <v>117</v>
      </c>
      <c r="D146" s="42"/>
      <c r="E146" s="48"/>
      <c r="F146" s="49">
        <f aca="true" t="shared" si="41" ref="F146:F152">SUM(G146,H146,I146,J146,M146)</f>
        <v>0</v>
      </c>
      <c r="G146" s="49">
        <f>'приложение 8'!D717</f>
        <v>0</v>
      </c>
      <c r="H146" s="49">
        <f>'приложение 8'!E717</f>
        <v>0</v>
      </c>
      <c r="I146" s="49">
        <f>'приложение 8'!F717</f>
        <v>0</v>
      </c>
      <c r="J146" s="85">
        <f>'приложение 8'!G717</f>
        <v>0</v>
      </c>
      <c r="K146" s="49">
        <f>'приложение 8'!J717</f>
        <v>0</v>
      </c>
      <c r="L146" s="49">
        <f>'приложение 8'!J717</f>
        <v>0</v>
      </c>
      <c r="M146" s="49">
        <f>'приложение 8'!K717</f>
        <v>0</v>
      </c>
    </row>
    <row r="147" spans="1:13" s="6" customFormat="1" ht="23.25" customHeight="1">
      <c r="A147" s="503"/>
      <c r="B147" s="488"/>
      <c r="C147" s="46" t="s">
        <v>118</v>
      </c>
      <c r="D147" s="50" t="s">
        <v>109</v>
      </c>
      <c r="E147" s="50" t="s">
        <v>212</v>
      </c>
      <c r="F147" s="73">
        <f>G147+H147+I147+J147+K147+L147+M147</f>
        <v>9231.04464</v>
      </c>
      <c r="G147" s="47">
        <f>'приложение 8'!D718</f>
        <v>2037.474</v>
      </c>
      <c r="H147" s="47">
        <f>'приложение 8'!E718</f>
        <v>1715.9981400000001</v>
      </c>
      <c r="I147" s="47">
        <f>'приложение 8'!F718</f>
        <v>2724.9525</v>
      </c>
      <c r="J147" s="84">
        <f>'приложение 8'!G718-755.19</f>
        <v>857.6199999999999</v>
      </c>
      <c r="K147" s="47">
        <v>0</v>
      </c>
      <c r="L147" s="47">
        <v>0</v>
      </c>
      <c r="M147" s="47">
        <f>'приложение 8'!K718</f>
        <v>1895</v>
      </c>
    </row>
    <row r="148" spans="1:13" s="6" customFormat="1" ht="23.25" customHeight="1">
      <c r="A148" s="503"/>
      <c r="B148" s="488"/>
      <c r="C148" s="46" t="s">
        <v>118</v>
      </c>
      <c r="D148" s="50" t="s">
        <v>142</v>
      </c>
      <c r="E148" s="50" t="s">
        <v>212</v>
      </c>
      <c r="F148" s="73"/>
      <c r="G148" s="47"/>
      <c r="H148" s="47"/>
      <c r="I148" s="47"/>
      <c r="J148" s="84">
        <v>755.19</v>
      </c>
      <c r="K148" s="47"/>
      <c r="L148" s="47"/>
      <c r="M148" s="47"/>
    </row>
    <row r="149" spans="1:13" s="5" customFormat="1" ht="27.75" customHeight="1">
      <c r="A149" s="503"/>
      <c r="B149" s="488"/>
      <c r="C149" s="45" t="s">
        <v>119</v>
      </c>
      <c r="D149" s="48"/>
      <c r="E149" s="48"/>
      <c r="F149" s="49">
        <f t="shared" si="41"/>
        <v>0</v>
      </c>
      <c r="G149" s="49">
        <f>'приложение 8'!D719</f>
        <v>0</v>
      </c>
      <c r="H149" s="49">
        <f>'приложение 8'!E719</f>
        <v>0</v>
      </c>
      <c r="I149" s="49">
        <f>'приложение 8'!F719</f>
        <v>0</v>
      </c>
      <c r="J149" s="85">
        <f>'приложение 8'!G719</f>
        <v>0</v>
      </c>
      <c r="K149" s="49">
        <f>'приложение 8'!J719</f>
        <v>0</v>
      </c>
      <c r="L149" s="49">
        <f>'приложение 8'!J719</f>
        <v>0</v>
      </c>
      <c r="M149" s="49">
        <f>'приложение 8'!K719</f>
        <v>0</v>
      </c>
    </row>
    <row r="150" spans="1:13" s="5" customFormat="1" ht="37.5">
      <c r="A150" s="503"/>
      <c r="B150" s="488"/>
      <c r="C150" s="45" t="s">
        <v>120</v>
      </c>
      <c r="D150" s="48"/>
      <c r="E150" s="48"/>
      <c r="F150" s="49">
        <f t="shared" si="41"/>
        <v>0</v>
      </c>
      <c r="G150" s="49">
        <f>'приложение 8'!D720</f>
        <v>0</v>
      </c>
      <c r="H150" s="49">
        <f>'приложение 8'!E720</f>
        <v>0</v>
      </c>
      <c r="I150" s="49">
        <f>'приложение 8'!F720</f>
        <v>0</v>
      </c>
      <c r="J150" s="85">
        <f>'приложение 8'!G720</f>
        <v>0</v>
      </c>
      <c r="K150" s="49">
        <f>'приложение 8'!J720</f>
        <v>0</v>
      </c>
      <c r="L150" s="49">
        <f>'приложение 8'!J720</f>
        <v>0</v>
      </c>
      <c r="M150" s="49">
        <f>'приложение 8'!K720</f>
        <v>0</v>
      </c>
    </row>
    <row r="151" spans="1:13" s="5" customFormat="1" ht="37.5" customHeight="1">
      <c r="A151" s="503"/>
      <c r="B151" s="488"/>
      <c r="C151" s="45" t="s">
        <v>192</v>
      </c>
      <c r="D151" s="48"/>
      <c r="E151" s="48"/>
      <c r="F151" s="49">
        <f t="shared" si="41"/>
        <v>0</v>
      </c>
      <c r="G151" s="49">
        <f>'приложение 8'!D720</f>
        <v>0</v>
      </c>
      <c r="H151" s="49">
        <f>'приложение 8'!E720</f>
        <v>0</v>
      </c>
      <c r="I151" s="49">
        <f>'приложение 8'!F720</f>
        <v>0</v>
      </c>
      <c r="J151" s="85">
        <f>'приложение 8'!G720</f>
        <v>0</v>
      </c>
      <c r="K151" s="49">
        <f>'приложение 8'!J720</f>
        <v>0</v>
      </c>
      <c r="L151" s="49">
        <f>'приложение 8'!J720</f>
        <v>0</v>
      </c>
      <c r="M151" s="49">
        <f>'приложение 8'!K720</f>
        <v>0</v>
      </c>
    </row>
    <row r="152" spans="1:13" s="5" customFormat="1" ht="56.25">
      <c r="A152" s="503"/>
      <c r="B152" s="488"/>
      <c r="C152" s="45" t="s">
        <v>178</v>
      </c>
      <c r="D152" s="48"/>
      <c r="E152" s="48"/>
      <c r="F152" s="49">
        <f t="shared" si="41"/>
        <v>0</v>
      </c>
      <c r="G152" s="49"/>
      <c r="H152" s="49"/>
      <c r="I152" s="49"/>
      <c r="J152" s="85"/>
      <c r="K152" s="49"/>
      <c r="L152" s="49"/>
      <c r="M152" s="49"/>
    </row>
    <row r="153" spans="1:13" s="6" customFormat="1" ht="27.75" customHeight="1">
      <c r="A153" s="503" t="s">
        <v>137</v>
      </c>
      <c r="B153" s="488" t="s">
        <v>87</v>
      </c>
      <c r="C153" s="46" t="s">
        <v>116</v>
      </c>
      <c r="D153" s="52"/>
      <c r="E153" s="50"/>
      <c r="F153" s="47">
        <f>SUM(G153:M153)</f>
        <v>72776.02136</v>
      </c>
      <c r="G153" s="47">
        <f aca="true" t="shared" si="42" ref="G153:M153">G154+G155+G159+G160</f>
        <v>14125.026</v>
      </c>
      <c r="H153" s="47">
        <f t="shared" si="42"/>
        <v>14367.451860000001</v>
      </c>
      <c r="I153" s="47">
        <f t="shared" si="42"/>
        <v>15445.9875</v>
      </c>
      <c r="J153" s="84">
        <f>J154+J155+J159+J160+J158</f>
        <v>14212.456</v>
      </c>
      <c r="K153" s="47">
        <f t="shared" si="42"/>
        <v>0</v>
      </c>
      <c r="L153" s="47">
        <f t="shared" si="42"/>
        <v>0</v>
      </c>
      <c r="M153" s="47">
        <f t="shared" si="42"/>
        <v>14625.1</v>
      </c>
    </row>
    <row r="154" spans="1:13" s="5" customFormat="1" ht="37.5">
      <c r="A154" s="503"/>
      <c r="B154" s="488"/>
      <c r="C154" s="45" t="s">
        <v>117</v>
      </c>
      <c r="D154" s="42"/>
      <c r="E154" s="48"/>
      <c r="F154" s="49">
        <f>SUM(G154:M154)</f>
        <v>0</v>
      </c>
      <c r="G154" s="49">
        <f>'приложение 8'!D823</f>
        <v>0</v>
      </c>
      <c r="H154" s="49">
        <f>'приложение 8'!E823</f>
        <v>0</v>
      </c>
      <c r="I154" s="49">
        <f>'приложение 8'!F823</f>
        <v>0</v>
      </c>
      <c r="J154" s="85">
        <f>'приложение 8'!G823</f>
        <v>0</v>
      </c>
      <c r="K154" s="49">
        <f>'приложение 8'!J823</f>
        <v>0</v>
      </c>
      <c r="L154" s="49">
        <f>'приложение 8'!J823</f>
        <v>0</v>
      </c>
      <c r="M154" s="49">
        <f>'приложение 8'!K823</f>
        <v>0</v>
      </c>
    </row>
    <row r="155" spans="1:13" s="5" customFormat="1" ht="27.75" customHeight="1">
      <c r="A155" s="503"/>
      <c r="B155" s="488"/>
      <c r="C155" s="46" t="s">
        <v>118</v>
      </c>
      <c r="D155" s="52">
        <v>847</v>
      </c>
      <c r="E155" s="50" t="s">
        <v>212</v>
      </c>
      <c r="F155" s="47">
        <f>SUM(G155:M155)</f>
        <v>69455.23760000001</v>
      </c>
      <c r="G155" s="47">
        <f>'приложение 8'!D824</f>
        <v>14125.026</v>
      </c>
      <c r="H155" s="47">
        <f>'приложение 8'!E824</f>
        <v>14367.451860000001</v>
      </c>
      <c r="I155" s="47">
        <f>'приложение 8'!F824</f>
        <v>15445.9875</v>
      </c>
      <c r="J155" s="84">
        <f>'приложение 8'!G824-3320.78376</f>
        <v>10891.67224</v>
      </c>
      <c r="K155" s="47">
        <v>0</v>
      </c>
      <c r="L155" s="47">
        <v>0</v>
      </c>
      <c r="M155" s="47">
        <f>'приложение 8'!K824</f>
        <v>14625.1</v>
      </c>
    </row>
    <row r="156" spans="1:13" s="6" customFormat="1" ht="27.75" customHeight="1" hidden="1">
      <c r="A156" s="503"/>
      <c r="B156" s="488"/>
      <c r="C156" s="46" t="s">
        <v>118</v>
      </c>
      <c r="D156" s="48" t="s">
        <v>109</v>
      </c>
      <c r="E156" s="48" t="s">
        <v>136</v>
      </c>
      <c r="F156" s="49">
        <f>G156+H156+I156+J156+M156</f>
        <v>69637.976</v>
      </c>
      <c r="G156" s="49">
        <v>13244.026</v>
      </c>
      <c r="H156" s="49">
        <f>'[1]8-5'!E576+'[1]8-5'!E577+'[1]8-5'!E578</f>
        <v>13418.45</v>
      </c>
      <c r="I156" s="49">
        <f>'[1]8-5'!F576+'[1]8-5'!F577+'[1]8-5'!F578</f>
        <v>13740</v>
      </c>
      <c r="J156" s="85">
        <f>'[1]8-5'!G576+'[1]8-5'!G577+'[1]8-5'!G578</f>
        <v>14317</v>
      </c>
      <c r="K156" s="49">
        <f>'[1]8-5'!G576+'[1]8-5'!G577+'[1]8-5'!G578</f>
        <v>14317</v>
      </c>
      <c r="L156" s="49">
        <f>'[1]8-5'!G576+'[1]8-5'!G577+'[1]8-5'!G578</f>
        <v>14317</v>
      </c>
      <c r="M156" s="49">
        <f>'[1]8-5'!H576+'[1]8-5'!H577+'[1]8-5'!H578</f>
        <v>14918.5</v>
      </c>
    </row>
    <row r="157" spans="1:13" s="6" customFormat="1" ht="27.75" customHeight="1" hidden="1">
      <c r="A157" s="503"/>
      <c r="B157" s="488"/>
      <c r="C157" s="46" t="s">
        <v>118</v>
      </c>
      <c r="D157" s="48" t="s">
        <v>109</v>
      </c>
      <c r="E157" s="48" t="s">
        <v>138</v>
      </c>
      <c r="F157" s="49">
        <f>G157+H157+I157+J157+M157</f>
        <v>4517.6</v>
      </c>
      <c r="G157" s="49">
        <f>'[1]8-5'!D579+'[1]8-5'!D580</f>
        <v>881</v>
      </c>
      <c r="H157" s="49">
        <f>'[1]8-5'!E579+'[1]8-5'!E580</f>
        <v>881</v>
      </c>
      <c r="I157" s="49">
        <f>'[1]8-5'!F579+'[1]8-5'!F580</f>
        <v>881</v>
      </c>
      <c r="J157" s="85">
        <f>'[1]8-5'!G579+'[1]8-5'!G580</f>
        <v>918</v>
      </c>
      <c r="K157" s="49">
        <f>'[1]8-5'!G579+'[1]8-5'!G580</f>
        <v>918</v>
      </c>
      <c r="L157" s="49">
        <f>'[1]8-5'!G579+'[1]8-5'!G580</f>
        <v>918</v>
      </c>
      <c r="M157" s="49">
        <f>'[1]8-5'!H579+'[1]8-5'!H580</f>
        <v>956.6</v>
      </c>
    </row>
    <row r="158" spans="1:13" s="6" customFormat="1" ht="27.75" customHeight="1">
      <c r="A158" s="503"/>
      <c r="B158" s="488"/>
      <c r="C158" s="46" t="s">
        <v>118</v>
      </c>
      <c r="D158" s="48" t="s">
        <v>142</v>
      </c>
      <c r="E158" s="48" t="s">
        <v>212</v>
      </c>
      <c r="F158" s="49"/>
      <c r="G158" s="49"/>
      <c r="H158" s="49"/>
      <c r="I158" s="49"/>
      <c r="J158" s="85">
        <v>3320.78376</v>
      </c>
      <c r="K158" s="49"/>
      <c r="L158" s="49"/>
      <c r="M158" s="49"/>
    </row>
    <row r="159" spans="1:13" s="5" customFormat="1" ht="27.75" customHeight="1">
      <c r="A159" s="503"/>
      <c r="B159" s="488"/>
      <c r="C159" s="45" t="s">
        <v>119</v>
      </c>
      <c r="D159" s="48"/>
      <c r="E159" s="48"/>
      <c r="F159" s="49">
        <f>SUM(G159:M159)</f>
        <v>0</v>
      </c>
      <c r="G159" s="49">
        <f>'приложение 8'!D825</f>
        <v>0</v>
      </c>
      <c r="H159" s="49">
        <f>'приложение 8'!E825</f>
        <v>0</v>
      </c>
      <c r="I159" s="49">
        <f>'приложение 8'!F825</f>
        <v>0</v>
      </c>
      <c r="J159" s="85">
        <f>'приложение 8'!G825</f>
        <v>0</v>
      </c>
      <c r="K159" s="49">
        <f>'приложение 8'!J825</f>
        <v>0</v>
      </c>
      <c r="L159" s="49">
        <f>'приложение 8'!J825</f>
        <v>0</v>
      </c>
      <c r="M159" s="49">
        <f>'приложение 8'!K825</f>
        <v>0</v>
      </c>
    </row>
    <row r="160" spans="1:13" s="5" customFormat="1" ht="37.5">
      <c r="A160" s="503"/>
      <c r="B160" s="488"/>
      <c r="C160" s="45" t="s">
        <v>120</v>
      </c>
      <c r="D160" s="48"/>
      <c r="E160" s="48"/>
      <c r="F160" s="49">
        <f>SUM(G160:M160)</f>
        <v>0</v>
      </c>
      <c r="G160" s="49">
        <f>'приложение 8'!D826</f>
        <v>0</v>
      </c>
      <c r="H160" s="49">
        <f>'приложение 8'!E826</f>
        <v>0</v>
      </c>
      <c r="I160" s="49">
        <f>'приложение 8'!F826</f>
        <v>0</v>
      </c>
      <c r="J160" s="85">
        <f>'приложение 8'!G826</f>
        <v>0</v>
      </c>
      <c r="K160" s="49">
        <f>'приложение 8'!J826</f>
        <v>0</v>
      </c>
      <c r="L160" s="49">
        <f>'приложение 8'!J826</f>
        <v>0</v>
      </c>
      <c r="M160" s="49">
        <f>'приложение 8'!K826</f>
        <v>0</v>
      </c>
    </row>
    <row r="161" spans="1:13" s="5" customFormat="1" ht="34.5" customHeight="1">
      <c r="A161" s="503"/>
      <c r="B161" s="488"/>
      <c r="C161" s="45" t="s">
        <v>192</v>
      </c>
      <c r="D161" s="48"/>
      <c r="E161" s="48"/>
      <c r="F161" s="49"/>
      <c r="G161" s="49"/>
      <c r="H161" s="49"/>
      <c r="I161" s="49"/>
      <c r="J161" s="85"/>
      <c r="K161" s="49"/>
      <c r="L161" s="49"/>
      <c r="M161" s="49"/>
    </row>
    <row r="162" spans="1:13" s="5" customFormat="1" ht="56.25">
      <c r="A162" s="503"/>
      <c r="B162" s="488"/>
      <c r="C162" s="45" t="s">
        <v>178</v>
      </c>
      <c r="D162" s="48"/>
      <c r="E162" s="48"/>
      <c r="F162" s="49"/>
      <c r="G162" s="49"/>
      <c r="H162" s="49"/>
      <c r="I162" s="49"/>
      <c r="J162" s="85"/>
      <c r="K162" s="49"/>
      <c r="L162" s="49"/>
      <c r="M162" s="49"/>
    </row>
    <row r="163" spans="1:13" s="6" customFormat="1" ht="27.75" customHeight="1">
      <c r="A163" s="503" t="s">
        <v>188</v>
      </c>
      <c r="B163" s="488" t="s">
        <v>90</v>
      </c>
      <c r="C163" s="46" t="s">
        <v>116</v>
      </c>
      <c r="D163" s="52"/>
      <c r="E163" s="50"/>
      <c r="F163" s="72">
        <f>G163+H163+I163+J163+K163+L163+M163</f>
        <v>990</v>
      </c>
      <c r="G163" s="47">
        <f aca="true" t="shared" si="43" ref="G163:M163">G164+G165+G167+G168+G169+G170</f>
        <v>150</v>
      </c>
      <c r="H163" s="47">
        <f t="shared" si="43"/>
        <v>170</v>
      </c>
      <c r="I163" s="47">
        <f t="shared" si="43"/>
        <v>210</v>
      </c>
      <c r="J163" s="84">
        <f>J164+J165+J167+J168+J169+J170+J166</f>
        <v>210</v>
      </c>
      <c r="K163" s="47">
        <f t="shared" si="43"/>
        <v>0</v>
      </c>
      <c r="L163" s="47">
        <f t="shared" si="43"/>
        <v>0</v>
      </c>
      <c r="M163" s="47">
        <f t="shared" si="43"/>
        <v>250</v>
      </c>
    </row>
    <row r="164" spans="1:13" s="5" customFormat="1" ht="37.5">
      <c r="A164" s="503"/>
      <c r="B164" s="488"/>
      <c r="C164" s="45" t="s">
        <v>117</v>
      </c>
      <c r="D164" s="42"/>
      <c r="E164" s="48"/>
      <c r="F164" s="49">
        <f>SUM(G164,H164,I164,J164,M164)</f>
        <v>0</v>
      </c>
      <c r="G164" s="49">
        <f>'приложение 8'!D936</f>
        <v>0</v>
      </c>
      <c r="H164" s="49">
        <f>'приложение 8'!E936</f>
        <v>0</v>
      </c>
      <c r="I164" s="49">
        <f>'приложение 8'!F936</f>
        <v>0</v>
      </c>
      <c r="J164" s="85">
        <f>'приложение 8'!G936</f>
        <v>0</v>
      </c>
      <c r="K164" s="49">
        <f>'приложение 8'!J936</f>
        <v>0</v>
      </c>
      <c r="L164" s="49">
        <f>'приложение 8'!J936</f>
        <v>0</v>
      </c>
      <c r="M164" s="49">
        <f>'приложение 8'!K936</f>
        <v>0</v>
      </c>
    </row>
    <row r="165" spans="1:13" s="6" customFormat="1" ht="27.75" customHeight="1">
      <c r="A165" s="503"/>
      <c r="B165" s="488"/>
      <c r="C165" s="46" t="s">
        <v>118</v>
      </c>
      <c r="D165" s="50" t="s">
        <v>109</v>
      </c>
      <c r="E165" s="50" t="s">
        <v>212</v>
      </c>
      <c r="F165" s="72">
        <f>G165+H165+I165+J165+K165+L165+M165</f>
        <v>780</v>
      </c>
      <c r="G165" s="47">
        <f>'приложение 8'!D937</f>
        <v>150</v>
      </c>
      <c r="H165" s="47">
        <f>'приложение 8'!E937</f>
        <v>170</v>
      </c>
      <c r="I165" s="47">
        <f>'приложение 8'!F937</f>
        <v>210</v>
      </c>
      <c r="J165" s="84">
        <f>'приложение 8'!G937-210</f>
        <v>0</v>
      </c>
      <c r="K165" s="47">
        <v>0</v>
      </c>
      <c r="L165" s="47">
        <v>0</v>
      </c>
      <c r="M165" s="47">
        <f>'приложение 8'!K937</f>
        <v>250</v>
      </c>
    </row>
    <row r="166" spans="1:13" s="6" customFormat="1" ht="27.75" customHeight="1">
      <c r="A166" s="503"/>
      <c r="B166" s="488"/>
      <c r="C166" s="46" t="s">
        <v>118</v>
      </c>
      <c r="D166" s="50" t="s">
        <v>142</v>
      </c>
      <c r="E166" s="50" t="s">
        <v>212</v>
      </c>
      <c r="F166" s="72"/>
      <c r="G166" s="47"/>
      <c r="H166" s="47"/>
      <c r="I166" s="47"/>
      <c r="J166" s="84">
        <v>210</v>
      </c>
      <c r="K166" s="47"/>
      <c r="L166" s="47"/>
      <c r="M166" s="47"/>
    </row>
    <row r="167" spans="1:13" s="5" customFormat="1" ht="27.75" customHeight="1">
      <c r="A167" s="503"/>
      <c r="B167" s="488"/>
      <c r="C167" s="45" t="s">
        <v>119</v>
      </c>
      <c r="D167" s="48"/>
      <c r="E167" s="48"/>
      <c r="F167" s="49">
        <f>SUM(G167,H167,I167,J167,M167)</f>
        <v>0</v>
      </c>
      <c r="G167" s="49">
        <f>'приложение 8'!D938</f>
        <v>0</v>
      </c>
      <c r="H167" s="49">
        <f>'приложение 8'!E938</f>
        <v>0</v>
      </c>
      <c r="I167" s="49">
        <f>'приложение 8'!F938</f>
        <v>0</v>
      </c>
      <c r="J167" s="85">
        <f>'приложение 8'!G938</f>
        <v>0</v>
      </c>
      <c r="K167" s="49">
        <f>'приложение 8'!J938</f>
        <v>0</v>
      </c>
      <c r="L167" s="49">
        <f>'приложение 8'!J938</f>
        <v>0</v>
      </c>
      <c r="M167" s="49">
        <f>'приложение 8'!K938</f>
        <v>0</v>
      </c>
    </row>
    <row r="168" spans="1:13" s="5" customFormat="1" ht="37.5">
      <c r="A168" s="503"/>
      <c r="B168" s="488"/>
      <c r="C168" s="45" t="s">
        <v>120</v>
      </c>
      <c r="D168" s="48"/>
      <c r="E168" s="48"/>
      <c r="F168" s="49">
        <f>SUM(G168,H168,I168,J168,M168)</f>
        <v>0</v>
      </c>
      <c r="G168" s="49">
        <f>'приложение 8'!D939</f>
        <v>0</v>
      </c>
      <c r="H168" s="49">
        <f>'приложение 8'!E939</f>
        <v>0</v>
      </c>
      <c r="I168" s="49">
        <f>'приложение 8'!F939</f>
        <v>0</v>
      </c>
      <c r="J168" s="85">
        <f>'приложение 8'!G939</f>
        <v>0</v>
      </c>
      <c r="K168" s="49">
        <f>'приложение 8'!J939</f>
        <v>0</v>
      </c>
      <c r="L168" s="49">
        <f>'приложение 8'!J939</f>
        <v>0</v>
      </c>
      <c r="M168" s="49">
        <f>'приложение 8'!K939</f>
        <v>0</v>
      </c>
    </row>
    <row r="169" spans="1:13" s="5" customFormat="1" ht="37.5">
      <c r="A169" s="503"/>
      <c r="B169" s="488"/>
      <c r="C169" s="45" t="s">
        <v>192</v>
      </c>
      <c r="D169" s="48"/>
      <c r="E169" s="48"/>
      <c r="F169" s="49"/>
      <c r="G169" s="49"/>
      <c r="H169" s="49"/>
      <c r="I169" s="49"/>
      <c r="J169" s="85"/>
      <c r="K169" s="49"/>
      <c r="L169" s="49"/>
      <c r="M169" s="49"/>
    </row>
    <row r="170" spans="1:13" s="5" customFormat="1" ht="56.25">
      <c r="A170" s="503"/>
      <c r="B170" s="488"/>
      <c r="C170" s="45" t="s">
        <v>178</v>
      </c>
      <c r="D170" s="48"/>
      <c r="E170" s="48"/>
      <c r="F170" s="49"/>
      <c r="G170" s="49"/>
      <c r="H170" s="49"/>
      <c r="I170" s="49"/>
      <c r="J170" s="85"/>
      <c r="K170" s="49"/>
      <c r="L170" s="49"/>
      <c r="M170" s="49"/>
    </row>
    <row r="171" spans="1:13" s="6" customFormat="1" ht="27.75" customHeight="1">
      <c r="A171" s="503" t="s">
        <v>139</v>
      </c>
      <c r="B171" s="488" t="s">
        <v>91</v>
      </c>
      <c r="C171" s="46" t="s">
        <v>116</v>
      </c>
      <c r="D171" s="52"/>
      <c r="E171" s="50"/>
      <c r="F171" s="72">
        <f>G171+H171+I171+J171+K171+L171+M171</f>
        <v>92343.65643999999</v>
      </c>
      <c r="G171" s="47">
        <f aca="true" t="shared" si="44" ref="G171:M171">G172+G173+G175+G176+G177+G178</f>
        <v>18377.32653</v>
      </c>
      <c r="H171" s="47">
        <f t="shared" si="44"/>
        <v>20911.959909999998</v>
      </c>
      <c r="I171" s="47">
        <f t="shared" si="44"/>
        <v>24264.18</v>
      </c>
      <c r="J171" s="84">
        <f>J172+J173+J175+J176+J177+J178+J174</f>
        <v>28790.190000000002</v>
      </c>
      <c r="K171" s="47">
        <f t="shared" si="44"/>
        <v>0</v>
      </c>
      <c r="L171" s="47">
        <f t="shared" si="44"/>
        <v>0</v>
      </c>
      <c r="M171" s="47">
        <f t="shared" si="44"/>
        <v>0</v>
      </c>
    </row>
    <row r="172" spans="1:13" s="5" customFormat="1" ht="37.5">
      <c r="A172" s="503"/>
      <c r="B172" s="488"/>
      <c r="C172" s="45" t="s">
        <v>117</v>
      </c>
      <c r="D172" s="42"/>
      <c r="E172" s="48"/>
      <c r="F172" s="49">
        <f>SUM(G172,H172,I172,J172,M172)</f>
        <v>0</v>
      </c>
      <c r="G172" s="49">
        <f>'приложение 8'!D951</f>
        <v>0</v>
      </c>
      <c r="H172" s="49">
        <f>'приложение 8'!E951</f>
        <v>0</v>
      </c>
      <c r="I172" s="49">
        <f>'приложение 8'!F951</f>
        <v>0</v>
      </c>
      <c r="J172" s="85">
        <f>'приложение 8'!G951</f>
        <v>0</v>
      </c>
      <c r="K172" s="49">
        <f>'приложение 8'!J951</f>
        <v>0</v>
      </c>
      <c r="L172" s="49">
        <f>'приложение 8'!J951</f>
        <v>0</v>
      </c>
      <c r="M172" s="49">
        <f>'приложение 8'!K951</f>
        <v>0</v>
      </c>
    </row>
    <row r="173" spans="1:13" s="6" customFormat="1" ht="24.75" customHeight="1">
      <c r="A173" s="503"/>
      <c r="B173" s="488"/>
      <c r="C173" s="46" t="s">
        <v>118</v>
      </c>
      <c r="D173" s="50" t="s">
        <v>109</v>
      </c>
      <c r="E173" s="50" t="s">
        <v>212</v>
      </c>
      <c r="F173" s="72">
        <f>G173+H173+I173+J173+K173+L173+M173</f>
        <v>75915.95752</v>
      </c>
      <c r="G173" s="47">
        <f>'приложение 8'!D952</f>
        <v>18377.32653</v>
      </c>
      <c r="H173" s="47">
        <f>'приложение 8'!E952</f>
        <v>20911.959909999998</v>
      </c>
      <c r="I173" s="47">
        <f>'приложение 8'!F952</f>
        <v>24264.18</v>
      </c>
      <c r="J173" s="84">
        <f>'приложение 8'!G952-16427.69892</f>
        <v>12362.491080000003</v>
      </c>
      <c r="K173" s="47">
        <v>0</v>
      </c>
      <c r="L173" s="47">
        <v>0</v>
      </c>
      <c r="M173" s="47">
        <v>0</v>
      </c>
    </row>
    <row r="174" spans="1:13" s="6" customFormat="1" ht="24.75" customHeight="1">
      <c r="A174" s="503"/>
      <c r="B174" s="488"/>
      <c r="C174" s="46" t="s">
        <v>118</v>
      </c>
      <c r="D174" s="50" t="s">
        <v>142</v>
      </c>
      <c r="E174" s="50" t="s">
        <v>212</v>
      </c>
      <c r="F174" s="72"/>
      <c r="G174" s="47"/>
      <c r="H174" s="47"/>
      <c r="I174" s="47"/>
      <c r="J174" s="84">
        <v>16427.69892</v>
      </c>
      <c r="K174" s="47"/>
      <c r="L174" s="47"/>
      <c r="M174" s="47"/>
    </row>
    <row r="175" spans="1:13" s="5" customFormat="1" ht="21.75" customHeight="1">
      <c r="A175" s="503"/>
      <c r="B175" s="488"/>
      <c r="C175" s="45" t="s">
        <v>119</v>
      </c>
      <c r="D175" s="48"/>
      <c r="E175" s="48"/>
      <c r="F175" s="49">
        <f>SUM(G175,H175,I175,J175,M175)</f>
        <v>0</v>
      </c>
      <c r="G175" s="49">
        <f>'приложение 8'!D953</f>
        <v>0</v>
      </c>
      <c r="H175" s="49">
        <f>'приложение 8'!E953</f>
        <v>0</v>
      </c>
      <c r="I175" s="49">
        <f>'приложение 8'!F953</f>
        <v>0</v>
      </c>
      <c r="J175" s="85">
        <f>'приложение 8'!G953</f>
        <v>0</v>
      </c>
      <c r="K175" s="49">
        <f>'приложение 8'!J953</f>
        <v>0</v>
      </c>
      <c r="L175" s="49">
        <f>'приложение 8'!J953</f>
        <v>0</v>
      </c>
      <c r="M175" s="49">
        <f>'приложение 8'!K953</f>
        <v>0</v>
      </c>
    </row>
    <row r="176" spans="1:13" s="5" customFormat="1" ht="37.5">
      <c r="A176" s="503"/>
      <c r="B176" s="488"/>
      <c r="C176" s="45" t="s">
        <v>120</v>
      </c>
      <c r="D176" s="48"/>
      <c r="E176" s="48"/>
      <c r="F176" s="49">
        <f>SUM(G176,H176,I176,J176,M176)</f>
        <v>0</v>
      </c>
      <c r="G176" s="49">
        <f>'приложение 8'!D954</f>
        <v>0</v>
      </c>
      <c r="H176" s="49">
        <f>'приложение 8'!E954</f>
        <v>0</v>
      </c>
      <c r="I176" s="49">
        <f>'приложение 8'!F954</f>
        <v>0</v>
      </c>
      <c r="J176" s="85">
        <f>'приложение 8'!G954</f>
        <v>0</v>
      </c>
      <c r="K176" s="49">
        <f>'приложение 8'!J954</f>
        <v>0</v>
      </c>
      <c r="L176" s="49">
        <f>'приложение 8'!J954</f>
        <v>0</v>
      </c>
      <c r="M176" s="49">
        <f>'приложение 8'!K954</f>
        <v>0</v>
      </c>
    </row>
    <row r="177" spans="1:13" s="5" customFormat="1" ht="37.5">
      <c r="A177" s="503"/>
      <c r="B177" s="488"/>
      <c r="C177" s="45" t="s">
        <v>192</v>
      </c>
      <c r="D177" s="48"/>
      <c r="E177" s="48"/>
      <c r="F177" s="49"/>
      <c r="G177" s="49"/>
      <c r="H177" s="49"/>
      <c r="I177" s="49"/>
      <c r="J177" s="85"/>
      <c r="K177" s="49"/>
      <c r="L177" s="49"/>
      <c r="M177" s="49"/>
    </row>
    <row r="178" spans="1:13" s="5" customFormat="1" ht="56.25">
      <c r="A178" s="503"/>
      <c r="B178" s="488"/>
      <c r="C178" s="45" t="s">
        <v>178</v>
      </c>
      <c r="D178" s="48"/>
      <c r="E178" s="48"/>
      <c r="F178" s="49"/>
      <c r="G178" s="49"/>
      <c r="H178" s="49"/>
      <c r="I178" s="49"/>
      <c r="J178" s="85"/>
      <c r="K178" s="49"/>
      <c r="L178" s="49"/>
      <c r="M178" s="49"/>
    </row>
    <row r="179" spans="1:13" s="5" customFormat="1" ht="18.75">
      <c r="A179" s="516" t="s">
        <v>172</v>
      </c>
      <c r="B179" s="488" t="s">
        <v>174</v>
      </c>
      <c r="C179" s="46" t="s">
        <v>116</v>
      </c>
      <c r="D179" s="52"/>
      <c r="E179" s="50"/>
      <c r="F179" s="47">
        <f>SUM(G179,H179,I179,J179,M179)</f>
        <v>193588.263</v>
      </c>
      <c r="G179" s="47">
        <f aca="true" t="shared" si="45" ref="G179:M179">G180+G181+G183+G184+G185+G186</f>
        <v>1500</v>
      </c>
      <c r="H179" s="47">
        <f t="shared" si="45"/>
        <v>9263</v>
      </c>
      <c r="I179" s="47">
        <f t="shared" si="45"/>
        <v>0</v>
      </c>
      <c r="J179" s="84">
        <f t="shared" si="45"/>
        <v>182825.263</v>
      </c>
      <c r="K179" s="47">
        <f t="shared" si="45"/>
        <v>103500</v>
      </c>
      <c r="L179" s="47">
        <f t="shared" si="45"/>
        <v>0</v>
      </c>
      <c r="M179" s="47">
        <f t="shared" si="45"/>
        <v>0</v>
      </c>
    </row>
    <row r="180" spans="1:13" s="5" customFormat="1" ht="37.5">
      <c r="A180" s="516"/>
      <c r="B180" s="488"/>
      <c r="C180" s="45" t="s">
        <v>117</v>
      </c>
      <c r="D180" s="42"/>
      <c r="E180" s="48"/>
      <c r="F180" s="49">
        <f>SUM(G180,H180,I180,J180,M180)</f>
        <v>0</v>
      </c>
      <c r="G180" s="49">
        <f>'приложение 8'!D1022</f>
        <v>0</v>
      </c>
      <c r="H180" s="49">
        <f>'приложение 8'!E1022</f>
        <v>0</v>
      </c>
      <c r="I180" s="49">
        <f>'приложение 8'!F1022</f>
        <v>0</v>
      </c>
      <c r="J180" s="85">
        <f>'приложение 8'!G1022</f>
        <v>0</v>
      </c>
      <c r="K180" s="49">
        <f>'приложение 8'!J1022</f>
        <v>0</v>
      </c>
      <c r="L180" s="49">
        <f>'приложение 8'!J1022</f>
        <v>0</v>
      </c>
      <c r="M180" s="49">
        <f>'приложение 8'!K1022</f>
        <v>0</v>
      </c>
    </row>
    <row r="181" spans="1:13" s="5" customFormat="1" ht="37.5">
      <c r="A181" s="516"/>
      <c r="B181" s="488"/>
      <c r="C181" s="46" t="s">
        <v>118</v>
      </c>
      <c r="D181" s="50" t="s">
        <v>110</v>
      </c>
      <c r="E181" s="50" t="s">
        <v>212</v>
      </c>
      <c r="F181" s="47">
        <f>SUM(G181,H181,I181,J181,M181)</f>
        <v>193588.263</v>
      </c>
      <c r="G181" s="47">
        <f>'приложение 8'!D1023</f>
        <v>1500</v>
      </c>
      <c r="H181" s="47">
        <f>'приложение 8'!E1023</f>
        <v>9263</v>
      </c>
      <c r="I181" s="47">
        <f>'приложение 8'!F1023</f>
        <v>0</v>
      </c>
      <c r="J181" s="84">
        <f>'приложение 8'!G1023</f>
        <v>182825.263</v>
      </c>
      <c r="K181" s="47">
        <f>'приложение 8'!I1023</f>
        <v>103500</v>
      </c>
      <c r="L181" s="47">
        <f>'приложение 8'!J1023</f>
        <v>0</v>
      </c>
      <c r="M181" s="47">
        <f>'приложение 8'!K1023</f>
        <v>0</v>
      </c>
    </row>
    <row r="182" spans="1:13" s="5" customFormat="1" ht="37.5">
      <c r="A182" s="516"/>
      <c r="B182" s="488"/>
      <c r="C182" s="46" t="s">
        <v>118</v>
      </c>
      <c r="D182" s="50"/>
      <c r="E182" s="50"/>
      <c r="F182" s="47"/>
      <c r="G182" s="47"/>
      <c r="H182" s="47"/>
      <c r="I182" s="47"/>
      <c r="J182" s="84"/>
      <c r="K182" s="47"/>
      <c r="L182" s="47"/>
      <c r="M182" s="47"/>
    </row>
    <row r="183" spans="1:13" s="5" customFormat="1" ht="18.75">
      <c r="A183" s="516"/>
      <c r="B183" s="488"/>
      <c r="C183" s="45" t="s">
        <v>119</v>
      </c>
      <c r="D183" s="48"/>
      <c r="E183" s="48"/>
      <c r="F183" s="49">
        <f>SUM(G183,H183,I183,J183,M183)</f>
        <v>0</v>
      </c>
      <c r="G183" s="49">
        <f>'приложение 8'!D1024</f>
        <v>0</v>
      </c>
      <c r="H183" s="49">
        <f>'приложение 8'!E1024</f>
        <v>0</v>
      </c>
      <c r="I183" s="49">
        <f>'приложение 8'!F1024</f>
        <v>0</v>
      </c>
      <c r="J183" s="85">
        <f>'приложение 8'!G1024</f>
        <v>0</v>
      </c>
      <c r="K183" s="49">
        <f>'приложение 8'!J1024</f>
        <v>0</v>
      </c>
      <c r="L183" s="49">
        <f>'приложение 8'!J1024</f>
        <v>0</v>
      </c>
      <c r="M183" s="49">
        <f>'приложение 8'!K1024</f>
        <v>0</v>
      </c>
    </row>
    <row r="184" spans="1:13" s="5" customFormat="1" ht="37.5">
      <c r="A184" s="516"/>
      <c r="B184" s="488"/>
      <c r="C184" s="45" t="s">
        <v>120</v>
      </c>
      <c r="D184" s="48"/>
      <c r="E184" s="48"/>
      <c r="F184" s="49">
        <f>SUM(G184,H184,I184,J184,M184)</f>
        <v>0</v>
      </c>
      <c r="G184" s="49">
        <f>'приложение 8'!D1025</f>
        <v>0</v>
      </c>
      <c r="H184" s="49">
        <f>'приложение 8'!E1025</f>
        <v>0</v>
      </c>
      <c r="I184" s="49">
        <f>'приложение 8'!F1025</f>
        <v>0</v>
      </c>
      <c r="J184" s="85">
        <f>'приложение 8'!G1025</f>
        <v>0</v>
      </c>
      <c r="K184" s="49">
        <f>'приложение 8'!J1025</f>
        <v>0</v>
      </c>
      <c r="L184" s="49">
        <f>'приложение 8'!J1025</f>
        <v>0</v>
      </c>
      <c r="M184" s="49">
        <f>'приложение 8'!K1025</f>
        <v>0</v>
      </c>
    </row>
    <row r="185" spans="1:13" s="5" customFormat="1" ht="36" customHeight="1">
      <c r="A185" s="516"/>
      <c r="B185" s="488"/>
      <c r="C185" s="45" t="s">
        <v>192</v>
      </c>
      <c r="D185" s="48"/>
      <c r="E185" s="48"/>
      <c r="F185" s="49"/>
      <c r="G185" s="49"/>
      <c r="H185" s="49"/>
      <c r="I185" s="49"/>
      <c r="J185" s="85"/>
      <c r="K185" s="49"/>
      <c r="L185" s="49"/>
      <c r="M185" s="49"/>
    </row>
    <row r="186" spans="1:13" s="5" customFormat="1" ht="56.25">
      <c r="A186" s="516"/>
      <c r="B186" s="488"/>
      <c r="C186" s="45" t="s">
        <v>178</v>
      </c>
      <c r="D186" s="48"/>
      <c r="E186" s="48"/>
      <c r="F186" s="49"/>
      <c r="G186" s="49"/>
      <c r="H186" s="49"/>
      <c r="I186" s="49"/>
      <c r="J186" s="85"/>
      <c r="K186" s="49"/>
      <c r="L186" s="49"/>
      <c r="M186" s="49"/>
    </row>
    <row r="187" spans="1:13" s="5" customFormat="1" ht="22.5" customHeight="1">
      <c r="A187" s="503" t="s">
        <v>140</v>
      </c>
      <c r="B187" s="517" t="s">
        <v>28</v>
      </c>
      <c r="C187" s="61" t="s">
        <v>116</v>
      </c>
      <c r="D187" s="52"/>
      <c r="E187" s="50"/>
      <c r="F187" s="62">
        <f aca="true" t="shared" si="46" ref="F187:F205">SUM(G187:M187)</f>
        <v>2853002.5010599997</v>
      </c>
      <c r="G187" s="62">
        <f aca="true" t="shared" si="47" ref="G187:M187">G188+G189+G196+G197+G198+G199</f>
        <v>466636.42</v>
      </c>
      <c r="H187" s="62">
        <f t="shared" si="47"/>
        <v>415599.93843</v>
      </c>
      <c r="I187" s="62">
        <f t="shared" si="47"/>
        <v>406237.16435000004</v>
      </c>
      <c r="J187" s="86">
        <f t="shared" si="47"/>
        <v>485472.79709</v>
      </c>
      <c r="K187" s="62">
        <f t="shared" si="47"/>
        <v>367472.47499</v>
      </c>
      <c r="L187" s="62">
        <f t="shared" si="47"/>
        <v>356045.12009999994</v>
      </c>
      <c r="M187" s="62">
        <f t="shared" si="47"/>
        <v>355538.58609999996</v>
      </c>
    </row>
    <row r="188" spans="1:13" s="5" customFormat="1" ht="37.5">
      <c r="A188" s="503"/>
      <c r="B188" s="517"/>
      <c r="C188" s="60" t="s">
        <v>117</v>
      </c>
      <c r="D188" s="42"/>
      <c r="E188" s="48"/>
      <c r="F188" s="63">
        <f t="shared" si="46"/>
        <v>62431.2</v>
      </c>
      <c r="G188" s="63">
        <f aca="true" t="shared" si="48" ref="G188:M188">G201+G209+G219+G228+G235+G242+G254+G262</f>
        <v>52471.1</v>
      </c>
      <c r="H188" s="63">
        <f t="shared" si="48"/>
        <v>0</v>
      </c>
      <c r="I188" s="63">
        <f t="shared" si="48"/>
        <v>9960.1</v>
      </c>
      <c r="J188" s="87">
        <f t="shared" si="48"/>
        <v>0</v>
      </c>
      <c r="K188" s="63">
        <f t="shared" si="48"/>
        <v>0</v>
      </c>
      <c r="L188" s="63">
        <f t="shared" si="48"/>
        <v>0</v>
      </c>
      <c r="M188" s="63">
        <f t="shared" si="48"/>
        <v>0</v>
      </c>
    </row>
    <row r="189" spans="1:13" s="5" customFormat="1" ht="36.75" customHeight="1">
      <c r="A189" s="503"/>
      <c r="B189" s="517"/>
      <c r="C189" s="61" t="s">
        <v>122</v>
      </c>
      <c r="D189" s="52"/>
      <c r="E189" s="50"/>
      <c r="F189" s="62">
        <f t="shared" si="46"/>
        <v>2594565.1880599996</v>
      </c>
      <c r="G189" s="62">
        <f>G190+G191+G192+G193+G194</f>
        <v>394531.5</v>
      </c>
      <c r="H189" s="62">
        <f>H190+H191+H192+H193+H194</f>
        <v>395001.03842999996</v>
      </c>
      <c r="I189" s="62">
        <f>I190+I191+I192+I193+I194+I195</f>
        <v>375678.16435000004</v>
      </c>
      <c r="J189" s="86">
        <f>J190+J191+J192+J193+J194+J195</f>
        <v>441698.71409</v>
      </c>
      <c r="K189" s="62">
        <f>K190+K191+K192+K193+K194</f>
        <v>336814.00499</v>
      </c>
      <c r="L189" s="62">
        <f>L190+L191+L192+L193+L194</f>
        <v>325386.65009999997</v>
      </c>
      <c r="M189" s="62">
        <f>M190+M191+M192+M193+M194</f>
        <v>325455.1161</v>
      </c>
    </row>
    <row r="190" spans="1:13" s="5" customFormat="1" ht="24.75" customHeight="1">
      <c r="A190" s="503"/>
      <c r="B190" s="517"/>
      <c r="C190" s="60"/>
      <c r="D190" s="48" t="s">
        <v>109</v>
      </c>
      <c r="E190" s="48" t="s">
        <v>213</v>
      </c>
      <c r="F190" s="63">
        <f t="shared" si="46"/>
        <v>429218.17067</v>
      </c>
      <c r="G190" s="49">
        <f aca="true" t="shared" si="49" ref="G190:M190">G202+G213+G222+G229+G244+G245+G255</f>
        <v>123865.38000000002</v>
      </c>
      <c r="H190" s="49">
        <f t="shared" si="49"/>
        <v>136463.25441</v>
      </c>
      <c r="I190" s="49">
        <f t="shared" si="49"/>
        <v>132726.64142000003</v>
      </c>
      <c r="J190" s="85">
        <f>J202+J213+J222+J229+J244+J245+J255</f>
        <v>12673.74084</v>
      </c>
      <c r="K190" s="49">
        <f t="shared" si="49"/>
        <v>21649.154</v>
      </c>
      <c r="L190" s="49">
        <f t="shared" si="49"/>
        <v>920</v>
      </c>
      <c r="M190" s="49">
        <f t="shared" si="49"/>
        <v>920</v>
      </c>
    </row>
    <row r="191" spans="1:13" s="5" customFormat="1" ht="22.5" customHeight="1">
      <c r="A191" s="503"/>
      <c r="B191" s="517"/>
      <c r="C191" s="60"/>
      <c r="D191" s="48" t="s">
        <v>141</v>
      </c>
      <c r="E191" s="48" t="s">
        <v>213</v>
      </c>
      <c r="F191" s="63">
        <f t="shared" si="46"/>
        <v>381295.928</v>
      </c>
      <c r="G191" s="63">
        <f aca="true" t="shared" si="50" ref="G191:M191">G220+G236+G243+G263</f>
        <v>1923</v>
      </c>
      <c r="H191" s="63">
        <f t="shared" si="50"/>
        <v>57919</v>
      </c>
      <c r="I191" s="63">
        <f t="shared" si="50"/>
        <v>61043.528000000006</v>
      </c>
      <c r="J191" s="87">
        <f t="shared" si="50"/>
        <v>63010.399999999994</v>
      </c>
      <c r="K191" s="63">
        <f t="shared" si="50"/>
        <v>73400</v>
      </c>
      <c r="L191" s="63">
        <f t="shared" si="50"/>
        <v>62000</v>
      </c>
      <c r="M191" s="63">
        <f t="shared" si="50"/>
        <v>62000</v>
      </c>
    </row>
    <row r="192" spans="1:13" s="6" customFormat="1" ht="22.5" customHeight="1">
      <c r="A192" s="503"/>
      <c r="B192" s="517"/>
      <c r="C192" s="60"/>
      <c r="D192" s="48" t="s">
        <v>142</v>
      </c>
      <c r="E192" s="48" t="s">
        <v>213</v>
      </c>
      <c r="F192" s="63">
        <f t="shared" si="46"/>
        <v>1260204.67008</v>
      </c>
      <c r="G192" s="63">
        <f aca="true" t="shared" si="51" ref="G192:M192">G210+G221</f>
        <v>80743.12</v>
      </c>
      <c r="H192" s="63">
        <f t="shared" si="51"/>
        <v>85900.77872999999</v>
      </c>
      <c r="I192" s="63">
        <f t="shared" si="51"/>
        <v>104102.105</v>
      </c>
      <c r="J192" s="87">
        <f>J210+J221+J203+J256</f>
        <v>222692.04916</v>
      </c>
      <c r="K192" s="63">
        <f t="shared" si="51"/>
        <v>241764.85099</v>
      </c>
      <c r="L192" s="63">
        <f t="shared" si="51"/>
        <v>262466.65009999997</v>
      </c>
      <c r="M192" s="63">
        <f t="shared" si="51"/>
        <v>262535.1161</v>
      </c>
    </row>
    <row r="193" spans="1:13" s="5" customFormat="1" ht="22.5" customHeight="1">
      <c r="A193" s="503"/>
      <c r="B193" s="517"/>
      <c r="C193" s="60"/>
      <c r="D193" s="48" t="s">
        <v>110</v>
      </c>
      <c r="E193" s="48" t="s">
        <v>213</v>
      </c>
      <c r="F193" s="63">
        <f t="shared" si="46"/>
        <v>0</v>
      </c>
      <c r="G193" s="63">
        <f aca="true" t="shared" si="52" ref="G193:M193">G248</f>
        <v>0</v>
      </c>
      <c r="H193" s="63">
        <f t="shared" si="52"/>
        <v>0</v>
      </c>
      <c r="I193" s="63">
        <f t="shared" si="52"/>
        <v>0</v>
      </c>
      <c r="J193" s="87">
        <f t="shared" si="52"/>
        <v>0</v>
      </c>
      <c r="K193" s="63">
        <f t="shared" si="52"/>
        <v>0</v>
      </c>
      <c r="L193" s="63">
        <f t="shared" si="52"/>
        <v>0</v>
      </c>
      <c r="M193" s="63">
        <f t="shared" si="52"/>
        <v>0</v>
      </c>
    </row>
    <row r="194" spans="1:13" s="6" customFormat="1" ht="22.5" customHeight="1">
      <c r="A194" s="503"/>
      <c r="B194" s="517"/>
      <c r="C194" s="60"/>
      <c r="D194" s="48" t="s">
        <v>111</v>
      </c>
      <c r="E194" s="48" t="s">
        <v>213</v>
      </c>
      <c r="F194" s="63">
        <f t="shared" si="46"/>
        <v>302718.00529</v>
      </c>
      <c r="G194" s="63">
        <f aca="true" t="shared" si="53" ref="G194:M195">G246</f>
        <v>188000</v>
      </c>
      <c r="H194" s="63">
        <f t="shared" si="53"/>
        <v>114718.00529</v>
      </c>
      <c r="I194" s="74">
        <f t="shared" si="53"/>
        <v>0</v>
      </c>
      <c r="J194" s="87">
        <f t="shared" si="53"/>
        <v>0</v>
      </c>
      <c r="K194" s="63">
        <f t="shared" si="53"/>
        <v>0</v>
      </c>
      <c r="L194" s="63">
        <f t="shared" si="53"/>
        <v>0</v>
      </c>
      <c r="M194" s="63">
        <f t="shared" si="53"/>
        <v>0</v>
      </c>
    </row>
    <row r="195" spans="1:13" s="6" customFormat="1" ht="22.5" customHeight="1">
      <c r="A195" s="503"/>
      <c r="B195" s="517"/>
      <c r="C195" s="60"/>
      <c r="D195" s="48" t="s">
        <v>67</v>
      </c>
      <c r="E195" s="48" t="s">
        <v>213</v>
      </c>
      <c r="F195" s="63">
        <f t="shared" si="46"/>
        <v>297530.41402</v>
      </c>
      <c r="G195" s="63">
        <f t="shared" si="53"/>
        <v>0</v>
      </c>
      <c r="H195" s="63">
        <f t="shared" si="53"/>
        <v>0</v>
      </c>
      <c r="I195" s="74">
        <f t="shared" si="53"/>
        <v>77805.88993</v>
      </c>
      <c r="J195" s="87">
        <f t="shared" si="53"/>
        <v>143322.52409</v>
      </c>
      <c r="K195" s="63">
        <f t="shared" si="53"/>
        <v>76402</v>
      </c>
      <c r="L195" s="63">
        <f t="shared" si="53"/>
        <v>0</v>
      </c>
      <c r="M195" s="63">
        <f t="shared" si="53"/>
        <v>0</v>
      </c>
    </row>
    <row r="196" spans="1:13" s="5" customFormat="1" ht="27.75" customHeight="1">
      <c r="A196" s="503"/>
      <c r="B196" s="517"/>
      <c r="C196" s="60" t="s">
        <v>119</v>
      </c>
      <c r="D196" s="48"/>
      <c r="E196" s="48"/>
      <c r="F196" s="63">
        <f t="shared" si="46"/>
        <v>192556.113</v>
      </c>
      <c r="G196" s="63">
        <f aca="true" t="shared" si="54" ref="G196:M196">G204++G223+G230+G237+G249+G257+G264+G214</f>
        <v>19058.82</v>
      </c>
      <c r="H196" s="63">
        <f t="shared" si="54"/>
        <v>20023.9</v>
      </c>
      <c r="I196" s="63">
        <f t="shared" si="54"/>
        <v>20023.9</v>
      </c>
      <c r="J196" s="87">
        <f t="shared" si="54"/>
        <v>43199.083</v>
      </c>
      <c r="K196" s="63">
        <f t="shared" si="54"/>
        <v>30083.47</v>
      </c>
      <c r="L196" s="63">
        <f t="shared" si="54"/>
        <v>30083.47</v>
      </c>
      <c r="M196" s="63">
        <f t="shared" si="54"/>
        <v>30083.47</v>
      </c>
    </row>
    <row r="197" spans="1:13" s="5" customFormat="1" ht="37.5">
      <c r="A197" s="503"/>
      <c r="B197" s="517"/>
      <c r="C197" s="60" t="s">
        <v>120</v>
      </c>
      <c r="D197" s="48"/>
      <c r="E197" s="48"/>
      <c r="F197" s="63">
        <f t="shared" si="46"/>
        <v>0</v>
      </c>
      <c r="G197" s="63">
        <f aca="true" t="shared" si="55" ref="G197:M199">G205+G215+G224+G231+G238+G250+G258+G265</f>
        <v>0</v>
      </c>
      <c r="H197" s="63">
        <f t="shared" si="55"/>
        <v>0</v>
      </c>
      <c r="I197" s="63">
        <f t="shared" si="55"/>
        <v>0</v>
      </c>
      <c r="J197" s="87">
        <f t="shared" si="55"/>
        <v>0</v>
      </c>
      <c r="K197" s="63">
        <f t="shared" si="55"/>
        <v>0</v>
      </c>
      <c r="L197" s="63">
        <f t="shared" si="55"/>
        <v>0</v>
      </c>
      <c r="M197" s="63">
        <f t="shared" si="55"/>
        <v>0</v>
      </c>
    </row>
    <row r="198" spans="1:13" s="5" customFormat="1" ht="37.5">
      <c r="A198" s="503"/>
      <c r="B198" s="517"/>
      <c r="C198" s="60" t="s">
        <v>192</v>
      </c>
      <c r="D198" s="48"/>
      <c r="E198" s="48"/>
      <c r="F198" s="63">
        <f t="shared" si="46"/>
        <v>3450</v>
      </c>
      <c r="G198" s="63">
        <f t="shared" si="55"/>
        <v>575</v>
      </c>
      <c r="H198" s="63">
        <f t="shared" si="55"/>
        <v>575</v>
      </c>
      <c r="I198" s="63">
        <f t="shared" si="55"/>
        <v>575</v>
      </c>
      <c r="J198" s="87">
        <f t="shared" si="55"/>
        <v>575</v>
      </c>
      <c r="K198" s="63">
        <f t="shared" si="55"/>
        <v>575</v>
      </c>
      <c r="L198" s="63">
        <f t="shared" si="55"/>
        <v>575</v>
      </c>
      <c r="M198" s="63">
        <f t="shared" si="55"/>
        <v>0</v>
      </c>
    </row>
    <row r="199" spans="1:13" s="5" customFormat="1" ht="56.25">
      <c r="A199" s="503"/>
      <c r="B199" s="517"/>
      <c r="C199" s="60" t="s">
        <v>178</v>
      </c>
      <c r="D199" s="48"/>
      <c r="E199" s="48"/>
      <c r="F199" s="63">
        <f t="shared" si="46"/>
        <v>0</v>
      </c>
      <c r="G199" s="63">
        <f t="shared" si="55"/>
        <v>0</v>
      </c>
      <c r="H199" s="63">
        <f t="shared" si="55"/>
        <v>0</v>
      </c>
      <c r="I199" s="63">
        <f t="shared" si="55"/>
        <v>0</v>
      </c>
      <c r="J199" s="87">
        <f t="shared" si="55"/>
        <v>0</v>
      </c>
      <c r="K199" s="63">
        <f t="shared" si="55"/>
        <v>0</v>
      </c>
      <c r="L199" s="63">
        <f t="shared" si="55"/>
        <v>0</v>
      </c>
      <c r="M199" s="63">
        <f t="shared" si="55"/>
        <v>0</v>
      </c>
    </row>
    <row r="200" spans="1:13" s="6" customFormat="1" ht="27.75" customHeight="1">
      <c r="A200" s="503" t="s">
        <v>92</v>
      </c>
      <c r="B200" s="510" t="s">
        <v>93</v>
      </c>
      <c r="C200" s="61" t="s">
        <v>116</v>
      </c>
      <c r="D200" s="52"/>
      <c r="E200" s="50"/>
      <c r="F200" s="62">
        <f t="shared" si="46"/>
        <v>1324.7</v>
      </c>
      <c r="G200" s="62">
        <f aca="true" t="shared" si="56" ref="G200:M200">SUM(G201:G207)</f>
        <v>1176.7</v>
      </c>
      <c r="H200" s="62">
        <f t="shared" si="56"/>
        <v>28</v>
      </c>
      <c r="I200" s="62">
        <f t="shared" si="56"/>
        <v>30</v>
      </c>
      <c r="J200" s="86">
        <f>SUM(J201:J207)</f>
        <v>0</v>
      </c>
      <c r="K200" s="62">
        <f t="shared" si="56"/>
        <v>30</v>
      </c>
      <c r="L200" s="62">
        <f t="shared" si="56"/>
        <v>30</v>
      </c>
      <c r="M200" s="62">
        <f t="shared" si="56"/>
        <v>30</v>
      </c>
    </row>
    <row r="201" spans="1:13" s="5" customFormat="1" ht="37.5">
      <c r="A201" s="503"/>
      <c r="B201" s="510"/>
      <c r="C201" s="60" t="s">
        <v>117</v>
      </c>
      <c r="D201" s="42"/>
      <c r="E201" s="48"/>
      <c r="F201" s="63">
        <f t="shared" si="46"/>
        <v>0</v>
      </c>
      <c r="G201" s="63">
        <f>'приложение 8'!D1084</f>
        <v>0</v>
      </c>
      <c r="H201" s="63">
        <f>'приложение 8'!E1084</f>
        <v>0</v>
      </c>
      <c r="I201" s="63">
        <f>'приложение 8'!F1084</f>
        <v>0</v>
      </c>
      <c r="J201" s="87">
        <f>'приложение 8'!G1084</f>
        <v>0</v>
      </c>
      <c r="K201" s="63">
        <f>'приложение 8'!J1084</f>
        <v>0</v>
      </c>
      <c r="L201" s="63">
        <f>'приложение 8'!J1084</f>
        <v>0</v>
      </c>
      <c r="M201" s="63">
        <f>'приложение 8'!K1084</f>
        <v>0</v>
      </c>
    </row>
    <row r="202" spans="1:13" s="6" customFormat="1" ht="24.75" customHeight="1">
      <c r="A202" s="503"/>
      <c r="B202" s="510"/>
      <c r="C202" s="61" t="s">
        <v>118</v>
      </c>
      <c r="D202" s="50" t="s">
        <v>109</v>
      </c>
      <c r="E202" s="50" t="s">
        <v>213</v>
      </c>
      <c r="F202" s="62">
        <f t="shared" si="46"/>
        <v>1294.7</v>
      </c>
      <c r="G202" s="62">
        <f>'приложение 8'!D1085</f>
        <v>1176.7</v>
      </c>
      <c r="H202" s="62">
        <f>'приложение 8'!E1085</f>
        <v>28</v>
      </c>
      <c r="I202" s="62">
        <f>'приложение 8'!F1085</f>
        <v>30</v>
      </c>
      <c r="J202" s="86">
        <f>'приложение 8'!G1085-30</f>
        <v>-30</v>
      </c>
      <c r="K202" s="62">
        <f>'приложение 8'!I1085</f>
        <v>30</v>
      </c>
      <c r="L202" s="62">
        <f>'приложение 8'!J1085</f>
        <v>30</v>
      </c>
      <c r="M202" s="62">
        <f>'приложение 8'!K1085</f>
        <v>30</v>
      </c>
    </row>
    <row r="203" spans="1:13" s="6" customFormat="1" ht="24.75" customHeight="1">
      <c r="A203" s="503"/>
      <c r="B203" s="510"/>
      <c r="C203" s="61" t="s">
        <v>118</v>
      </c>
      <c r="D203" s="50" t="s">
        <v>142</v>
      </c>
      <c r="E203" s="50" t="s">
        <v>213</v>
      </c>
      <c r="F203" s="62"/>
      <c r="G203" s="62"/>
      <c r="H203" s="62"/>
      <c r="I203" s="62"/>
      <c r="J203" s="86">
        <v>30</v>
      </c>
      <c r="K203" s="62"/>
      <c r="L203" s="62"/>
      <c r="M203" s="62"/>
    </row>
    <row r="204" spans="1:13" s="6" customFormat="1" ht="27.75" customHeight="1">
      <c r="A204" s="503"/>
      <c r="B204" s="510"/>
      <c r="C204" s="60" t="s">
        <v>119</v>
      </c>
      <c r="D204" s="48"/>
      <c r="E204" s="48"/>
      <c r="F204" s="63">
        <f t="shared" si="46"/>
        <v>0</v>
      </c>
      <c r="G204" s="63">
        <f>'приложение 8'!D1086</f>
        <v>0</v>
      </c>
      <c r="H204" s="63">
        <f>'приложение 8'!E1086</f>
        <v>0</v>
      </c>
      <c r="I204" s="63">
        <f>'приложение 8'!F1086</f>
        <v>0</v>
      </c>
      <c r="J204" s="87">
        <f>'приложение 8'!G1086</f>
        <v>0</v>
      </c>
      <c r="K204" s="63">
        <f>'приложение 8'!J1086</f>
        <v>0</v>
      </c>
      <c r="L204" s="63">
        <f>'приложение 8'!J1086</f>
        <v>0</v>
      </c>
      <c r="M204" s="63">
        <f>'приложение 8'!K1086</f>
        <v>0</v>
      </c>
    </row>
    <row r="205" spans="1:13" s="6" customFormat="1" ht="37.5">
      <c r="A205" s="503"/>
      <c r="B205" s="510"/>
      <c r="C205" s="60" t="s">
        <v>120</v>
      </c>
      <c r="D205" s="48"/>
      <c r="E205" s="48"/>
      <c r="F205" s="63">
        <f t="shared" si="46"/>
        <v>0</v>
      </c>
      <c r="G205" s="63">
        <f>'приложение 8'!D1087</f>
        <v>0</v>
      </c>
      <c r="H205" s="63">
        <f>'приложение 8'!E1087</f>
        <v>0</v>
      </c>
      <c r="I205" s="63">
        <f>'приложение 8'!F1087</f>
        <v>0</v>
      </c>
      <c r="J205" s="87">
        <f>'приложение 8'!G1087</f>
        <v>0</v>
      </c>
      <c r="K205" s="63">
        <f>'приложение 8'!J1087</f>
        <v>0</v>
      </c>
      <c r="L205" s="63">
        <f>'приложение 8'!J1087</f>
        <v>0</v>
      </c>
      <c r="M205" s="63">
        <f>'приложение 8'!K1087</f>
        <v>0</v>
      </c>
    </row>
    <row r="206" spans="1:13" s="6" customFormat="1" ht="37.5">
      <c r="A206" s="503"/>
      <c r="B206" s="510"/>
      <c r="C206" s="60" t="s">
        <v>192</v>
      </c>
      <c r="D206" s="48"/>
      <c r="E206" s="48"/>
      <c r="F206" s="63"/>
      <c r="G206" s="63"/>
      <c r="H206" s="63"/>
      <c r="I206" s="63"/>
      <c r="J206" s="87"/>
      <c r="K206" s="63"/>
      <c r="L206" s="63"/>
      <c r="M206" s="63"/>
    </row>
    <row r="207" spans="1:13" s="5" customFormat="1" ht="39" customHeight="1">
      <c r="A207" s="503"/>
      <c r="B207" s="510"/>
      <c r="C207" s="60" t="s">
        <v>178</v>
      </c>
      <c r="D207" s="48"/>
      <c r="E207" s="48"/>
      <c r="F207" s="63"/>
      <c r="G207" s="63"/>
      <c r="H207" s="63"/>
      <c r="I207" s="63"/>
      <c r="J207" s="87"/>
      <c r="K207" s="63"/>
      <c r="L207" s="63"/>
      <c r="M207" s="63"/>
    </row>
    <row r="208" spans="1:13" s="5" customFormat="1" ht="25.5" customHeight="1">
      <c r="A208" s="503" t="s">
        <v>94</v>
      </c>
      <c r="B208" s="510" t="s">
        <v>95</v>
      </c>
      <c r="C208" s="61" t="s">
        <v>116</v>
      </c>
      <c r="D208" s="52"/>
      <c r="E208" s="50"/>
      <c r="F208" s="62">
        <f>SUM(G208:M208)</f>
        <v>1682880.3500599996</v>
      </c>
      <c r="G208" s="62">
        <f aca="true" t="shared" si="57" ref="G208:M208">G210+G213+G214+G215+G216+G217</f>
        <v>188356.99000000002</v>
      </c>
      <c r="H208" s="62">
        <f t="shared" si="57"/>
        <v>210877.59913</v>
      </c>
      <c r="I208" s="62">
        <f t="shared" si="57"/>
        <v>234184.44578</v>
      </c>
      <c r="J208" s="86">
        <f t="shared" si="57"/>
        <v>256046.03396000003</v>
      </c>
      <c r="K208" s="62">
        <f t="shared" si="57"/>
        <v>264106.77499</v>
      </c>
      <c r="L208" s="62">
        <f t="shared" si="57"/>
        <v>264620.02009999997</v>
      </c>
      <c r="M208" s="62">
        <f t="shared" si="57"/>
        <v>264688.4861</v>
      </c>
    </row>
    <row r="209" spans="1:13" s="5" customFormat="1" ht="37.5">
      <c r="A209" s="503"/>
      <c r="B209" s="510"/>
      <c r="C209" s="60" t="s">
        <v>117</v>
      </c>
      <c r="D209" s="42"/>
      <c r="E209" s="48"/>
      <c r="F209" s="63"/>
      <c r="G209" s="63"/>
      <c r="H209" s="63"/>
      <c r="I209" s="63"/>
      <c r="J209" s="87"/>
      <c r="K209" s="63"/>
      <c r="L209" s="63"/>
      <c r="M209" s="63"/>
    </row>
    <row r="210" spans="1:13" s="5" customFormat="1" ht="37.5">
      <c r="A210" s="503"/>
      <c r="B210" s="510"/>
      <c r="C210" s="61" t="s">
        <v>118</v>
      </c>
      <c r="D210" s="52">
        <v>813</v>
      </c>
      <c r="E210" s="50" t="s">
        <v>213</v>
      </c>
      <c r="F210" s="62">
        <f aca="true" t="shared" si="58" ref="F210:F215">SUM(G210:M210)</f>
        <v>1108686.14524</v>
      </c>
      <c r="G210" s="62">
        <f>'приложение 8'!D1107</f>
        <v>65572.89</v>
      </c>
      <c r="H210" s="62">
        <f>'приложение 8'!E1107</f>
        <v>71935.36609</v>
      </c>
      <c r="I210" s="62">
        <f>'приложение 8'!F1107</f>
        <v>89332.105</v>
      </c>
      <c r="J210" s="86">
        <f>'приложение 8'!G1107+14974.51</f>
        <v>200264.76696</v>
      </c>
      <c r="K210" s="62">
        <f>'приложение 8'!I1107</f>
        <v>213009.25099</v>
      </c>
      <c r="L210" s="62">
        <f>'приложение 8'!J1107</f>
        <v>234251.6501</v>
      </c>
      <c r="M210" s="62">
        <f>'приложение 8'!K1107</f>
        <v>234320.1161</v>
      </c>
    </row>
    <row r="211" spans="1:13" s="6" customFormat="1" ht="23.25" customHeight="1" hidden="1">
      <c r="A211" s="503"/>
      <c r="B211" s="510"/>
      <c r="C211" s="61" t="s">
        <v>118</v>
      </c>
      <c r="D211" s="42">
        <v>813</v>
      </c>
      <c r="E211" s="48" t="s">
        <v>160</v>
      </c>
      <c r="F211" s="62">
        <f t="shared" si="58"/>
        <v>422456.006</v>
      </c>
      <c r="G211" s="63">
        <v>60350.858</v>
      </c>
      <c r="H211" s="63">
        <v>60350.858</v>
      </c>
      <c r="I211" s="63">
        <v>60350.858</v>
      </c>
      <c r="J211" s="87">
        <v>60350.858</v>
      </c>
      <c r="K211" s="63">
        <v>60350.858</v>
      </c>
      <c r="L211" s="63">
        <v>60350.858</v>
      </c>
      <c r="M211" s="63">
        <v>60350.858</v>
      </c>
    </row>
    <row r="212" spans="1:13" s="5" customFormat="1" ht="23.25" customHeight="1" hidden="1">
      <c r="A212" s="503"/>
      <c r="B212" s="510"/>
      <c r="C212" s="61" t="s">
        <v>118</v>
      </c>
      <c r="D212" s="42">
        <v>813</v>
      </c>
      <c r="E212" s="48" t="s">
        <v>159</v>
      </c>
      <c r="F212" s="62">
        <f t="shared" si="58"/>
        <v>36554.224</v>
      </c>
      <c r="G212" s="63">
        <v>5222.032</v>
      </c>
      <c r="H212" s="63">
        <v>5222.032</v>
      </c>
      <c r="I212" s="63">
        <v>5222.032</v>
      </c>
      <c r="J212" s="87">
        <v>5222.032</v>
      </c>
      <c r="K212" s="63">
        <v>5222.032</v>
      </c>
      <c r="L212" s="63">
        <v>5222.032</v>
      </c>
      <c r="M212" s="63">
        <v>5222.032</v>
      </c>
    </row>
    <row r="213" spans="1:13" s="6" customFormat="1" ht="23.25" customHeight="1">
      <c r="A213" s="503"/>
      <c r="B213" s="510"/>
      <c r="C213" s="61" t="s">
        <v>118</v>
      </c>
      <c r="D213" s="50" t="s">
        <v>109</v>
      </c>
      <c r="E213" s="50" t="s">
        <v>213</v>
      </c>
      <c r="F213" s="62">
        <f t="shared" si="58"/>
        <v>381638.0918200001</v>
      </c>
      <c r="G213" s="62">
        <f>'приложение 8'!D1108</f>
        <v>103725.28000000001</v>
      </c>
      <c r="H213" s="62">
        <f>'приложение 8'!E1108</f>
        <v>118918.33304</v>
      </c>
      <c r="I213" s="62">
        <f>'приложение 8'!F1108</f>
        <v>124828.44078000002</v>
      </c>
      <c r="J213" s="86">
        <f>'приложение 8'!G1108-14974.51</f>
        <v>12582.184</v>
      </c>
      <c r="K213" s="62">
        <f>'приложение 8'!I1108</f>
        <v>21014.054</v>
      </c>
      <c r="L213" s="62">
        <f>'приложение 8'!J1108</f>
        <v>284.9</v>
      </c>
      <c r="M213" s="62">
        <f>'приложение 8'!K1108</f>
        <v>284.9</v>
      </c>
    </row>
    <row r="214" spans="1:13" s="6" customFormat="1" ht="23.25" customHeight="1">
      <c r="A214" s="503"/>
      <c r="B214" s="510"/>
      <c r="C214" s="60" t="s">
        <v>119</v>
      </c>
      <c r="D214" s="48"/>
      <c r="E214" s="48"/>
      <c r="F214" s="63">
        <f t="shared" si="58"/>
        <v>192556.113</v>
      </c>
      <c r="G214" s="63">
        <f>'приложение 8'!D1109</f>
        <v>19058.82</v>
      </c>
      <c r="H214" s="63">
        <f>'приложение 8'!E1109</f>
        <v>20023.9</v>
      </c>
      <c r="I214" s="63">
        <f>'приложение 8'!F1109</f>
        <v>20023.9</v>
      </c>
      <c r="J214" s="87">
        <f>'приложение 8'!G1109</f>
        <v>43199.083</v>
      </c>
      <c r="K214" s="63">
        <f>'приложение 8'!I1109</f>
        <v>30083.47</v>
      </c>
      <c r="L214" s="63">
        <f>'приложение 8'!J1109</f>
        <v>30083.47</v>
      </c>
      <c r="M214" s="63">
        <f>'приложение 8'!K1109</f>
        <v>30083.47</v>
      </c>
    </row>
    <row r="215" spans="1:13" s="6" customFormat="1" ht="37.5">
      <c r="A215" s="503"/>
      <c r="B215" s="510"/>
      <c r="C215" s="60" t="s">
        <v>120</v>
      </c>
      <c r="D215" s="48"/>
      <c r="E215" s="48"/>
      <c r="F215" s="63">
        <f t="shared" si="58"/>
        <v>0</v>
      </c>
      <c r="G215" s="63">
        <f>'приложение 8'!D1110</f>
        <v>0</v>
      </c>
      <c r="H215" s="63">
        <f>'приложение 8'!E1110</f>
        <v>0</v>
      </c>
      <c r="I215" s="63">
        <f>'приложение 8'!F1110</f>
        <v>0</v>
      </c>
      <c r="J215" s="87">
        <f>'приложение 8'!G1110</f>
        <v>0</v>
      </c>
      <c r="K215" s="63">
        <f>'приложение 8'!J1110</f>
        <v>0</v>
      </c>
      <c r="L215" s="63">
        <f>'приложение 8'!J1110</f>
        <v>0</v>
      </c>
      <c r="M215" s="63">
        <f>'приложение 8'!K1110</f>
        <v>0</v>
      </c>
    </row>
    <row r="216" spans="1:13" s="5" customFormat="1" ht="34.5" customHeight="1">
      <c r="A216" s="503"/>
      <c r="B216" s="510"/>
      <c r="C216" s="60" t="s">
        <v>192</v>
      </c>
      <c r="D216" s="48"/>
      <c r="E216" s="48"/>
      <c r="F216" s="63"/>
      <c r="G216" s="63"/>
      <c r="H216" s="63"/>
      <c r="I216" s="63"/>
      <c r="J216" s="87"/>
      <c r="K216" s="63"/>
      <c r="L216" s="63"/>
      <c r="M216" s="63"/>
    </row>
    <row r="217" spans="1:13" s="5" customFormat="1" ht="33.75" customHeight="1">
      <c r="A217" s="503"/>
      <c r="B217" s="510"/>
      <c r="C217" s="60" t="s">
        <v>178</v>
      </c>
      <c r="D217" s="48"/>
      <c r="E217" s="48"/>
      <c r="F217" s="63"/>
      <c r="G217" s="63"/>
      <c r="H217" s="63"/>
      <c r="I217" s="63"/>
      <c r="J217" s="87"/>
      <c r="K217" s="63"/>
      <c r="L217" s="63"/>
      <c r="M217" s="63"/>
    </row>
    <row r="218" spans="1:13" s="5" customFormat="1" ht="27.75" customHeight="1">
      <c r="A218" s="503" t="s">
        <v>143</v>
      </c>
      <c r="B218" s="510" t="s">
        <v>96</v>
      </c>
      <c r="C218" s="61" t="s">
        <v>116</v>
      </c>
      <c r="D218" s="52"/>
      <c r="E218" s="50"/>
      <c r="F218" s="62">
        <f aca="true" t="shared" si="59" ref="F218:F224">SUM(G218:M218)</f>
        <v>632846.56106</v>
      </c>
      <c r="G218" s="62">
        <f aca="true" t="shared" si="60" ref="G218:M218">SUM(G219:G226)</f>
        <v>85894.93</v>
      </c>
      <c r="H218" s="62">
        <f t="shared" si="60"/>
        <v>88013.28086</v>
      </c>
      <c r="I218" s="62">
        <f t="shared" si="60"/>
        <v>92551.52358000001</v>
      </c>
      <c r="J218" s="86">
        <f>SUM(J219:J226)</f>
        <v>84707.33162</v>
      </c>
      <c r="K218" s="62">
        <f t="shared" si="60"/>
        <v>101853.565</v>
      </c>
      <c r="L218" s="62">
        <f t="shared" si="60"/>
        <v>89912.965</v>
      </c>
      <c r="M218" s="62">
        <f t="shared" si="60"/>
        <v>89912.965</v>
      </c>
    </row>
    <row r="219" spans="1:13" s="5" customFormat="1" ht="37.5">
      <c r="A219" s="503"/>
      <c r="B219" s="510"/>
      <c r="C219" s="60" t="s">
        <v>117</v>
      </c>
      <c r="D219" s="42"/>
      <c r="E219" s="48"/>
      <c r="F219" s="63">
        <f t="shared" si="59"/>
        <v>62431.2</v>
      </c>
      <c r="G219" s="63">
        <f>'приложение 8'!D1203</f>
        <v>52471.1</v>
      </c>
      <c r="H219" s="63">
        <f>'приложение 8'!E1203</f>
        <v>0</v>
      </c>
      <c r="I219" s="63">
        <f>'приложение 8'!F1203</f>
        <v>9960.1</v>
      </c>
      <c r="J219" s="87">
        <f>'приложение 8'!G1203</f>
        <v>0</v>
      </c>
      <c r="K219" s="63">
        <f>'приложение 8'!J1203</f>
        <v>0</v>
      </c>
      <c r="L219" s="63">
        <f>'приложение 8'!J1203</f>
        <v>0</v>
      </c>
      <c r="M219" s="63">
        <f>'приложение 8'!K1203</f>
        <v>0</v>
      </c>
    </row>
    <row r="220" spans="1:13" s="6" customFormat="1" ht="25.5" customHeight="1">
      <c r="A220" s="503"/>
      <c r="B220" s="510"/>
      <c r="C220" s="61" t="s">
        <v>118</v>
      </c>
      <c r="D220" s="50" t="s">
        <v>141</v>
      </c>
      <c r="E220" s="50" t="s">
        <v>213</v>
      </c>
      <c r="F220" s="62">
        <f t="shared" si="59"/>
        <v>378765.39</v>
      </c>
      <c r="G220" s="62">
        <f>'приложение 8'!D1205</f>
        <v>1453</v>
      </c>
      <c r="H220" s="62">
        <f>'приложение 8'!E1205</f>
        <v>57423.274</v>
      </c>
      <c r="I220" s="62">
        <f>'приложение 8'!F1205</f>
        <v>60703.200000000004</v>
      </c>
      <c r="J220" s="86">
        <f>'приложение 8'!G1205+1926.2</f>
        <v>62692.02099999999</v>
      </c>
      <c r="K220" s="62">
        <f>'приложение 8'!I1205</f>
        <v>73097.965</v>
      </c>
      <c r="L220" s="62">
        <f>'приложение 8'!J1205</f>
        <v>61697.965</v>
      </c>
      <c r="M220" s="62">
        <f>'приложение 8'!K1205</f>
        <v>61697.965</v>
      </c>
    </row>
    <row r="221" spans="1:13" s="5" customFormat="1" ht="25.5" customHeight="1">
      <c r="A221" s="503"/>
      <c r="B221" s="510"/>
      <c r="C221" s="61" t="s">
        <v>118</v>
      </c>
      <c r="D221" s="50" t="s">
        <v>142</v>
      </c>
      <c r="E221" s="50" t="s">
        <v>213</v>
      </c>
      <c r="F221" s="62">
        <f t="shared" si="59"/>
        <v>151386.95326</v>
      </c>
      <c r="G221" s="62">
        <f>'приложение 8'!D1206</f>
        <v>15170.23</v>
      </c>
      <c r="H221" s="62">
        <f>'приложение 8'!E1206</f>
        <v>13965.412639999999</v>
      </c>
      <c r="I221" s="62">
        <f>'приложение 8'!F1206</f>
        <v>14770</v>
      </c>
      <c r="J221" s="86">
        <f>'приложение 8'!G1206</f>
        <v>22295.710619999998</v>
      </c>
      <c r="K221" s="62">
        <f>'приложение 8'!I1206</f>
        <v>28755.6</v>
      </c>
      <c r="L221" s="62">
        <f>'приложение 8'!J1206</f>
        <v>28215</v>
      </c>
      <c r="M221" s="62">
        <f>'приложение 8'!K1206</f>
        <v>28215</v>
      </c>
    </row>
    <row r="222" spans="1:13" s="6" customFormat="1" ht="25.5" customHeight="1">
      <c r="A222" s="503"/>
      <c r="B222" s="510"/>
      <c r="C222" s="61" t="s">
        <v>118</v>
      </c>
      <c r="D222" s="50" t="s">
        <v>109</v>
      </c>
      <c r="E222" s="50" t="s">
        <v>213</v>
      </c>
      <c r="F222" s="62">
        <f t="shared" si="59"/>
        <v>40263.017799999994</v>
      </c>
      <c r="G222" s="62">
        <f>'приложение 8'!D1207</f>
        <v>16800.6</v>
      </c>
      <c r="H222" s="62">
        <f>'приложение 8'!E1207</f>
        <v>16624.59422</v>
      </c>
      <c r="I222" s="62">
        <f>'приложение 8'!F1207</f>
        <v>7118.22358</v>
      </c>
      <c r="J222" s="86">
        <f>'приложение 8'!G1207-1926.2</f>
        <v>-280.39999999999895</v>
      </c>
      <c r="K222" s="62">
        <f>'приложение 8'!I1207</f>
        <v>0</v>
      </c>
      <c r="L222" s="62">
        <f>'приложение 8'!J1207</f>
        <v>0</v>
      </c>
      <c r="M222" s="62">
        <f>'приложение 8'!K1207</f>
        <v>0</v>
      </c>
    </row>
    <row r="223" spans="1:13" s="5" customFormat="1" ht="25.5" customHeight="1">
      <c r="A223" s="503"/>
      <c r="B223" s="510"/>
      <c r="C223" s="60" t="s">
        <v>119</v>
      </c>
      <c r="D223" s="48"/>
      <c r="E223" s="48"/>
      <c r="F223" s="63">
        <f t="shared" si="59"/>
        <v>0</v>
      </c>
      <c r="G223" s="63">
        <f>'приложение 8'!D1208</f>
        <v>0</v>
      </c>
      <c r="H223" s="63">
        <f>'приложение 8'!E1208</f>
        <v>0</v>
      </c>
      <c r="I223" s="63">
        <f>'приложение 8'!F1208</f>
        <v>0</v>
      </c>
      <c r="J223" s="87">
        <f>'приложение 8'!G1208</f>
        <v>0</v>
      </c>
      <c r="K223" s="63">
        <f>'приложение 8'!J1208</f>
        <v>0</v>
      </c>
      <c r="L223" s="63">
        <f>'приложение 8'!J1208</f>
        <v>0</v>
      </c>
      <c r="M223" s="63">
        <f>'приложение 8'!K1208</f>
        <v>0</v>
      </c>
    </row>
    <row r="224" spans="1:13" s="5" customFormat="1" ht="37.5">
      <c r="A224" s="503"/>
      <c r="B224" s="510"/>
      <c r="C224" s="60" t="s">
        <v>120</v>
      </c>
      <c r="D224" s="48"/>
      <c r="E224" s="48"/>
      <c r="F224" s="63">
        <f t="shared" si="59"/>
        <v>0</v>
      </c>
      <c r="G224" s="63">
        <f>'приложение 8'!D1209</f>
        <v>0</v>
      </c>
      <c r="H224" s="63">
        <f>'приложение 8'!E1209</f>
        <v>0</v>
      </c>
      <c r="I224" s="63">
        <f>'приложение 8'!F1209</f>
        <v>0</v>
      </c>
      <c r="J224" s="87">
        <f>'приложение 8'!G1209</f>
        <v>0</v>
      </c>
      <c r="K224" s="63">
        <f>'приложение 8'!J1209</f>
        <v>0</v>
      </c>
      <c r="L224" s="63">
        <f>'приложение 8'!J1209</f>
        <v>0</v>
      </c>
      <c r="M224" s="63">
        <f>'приложение 8'!K1209</f>
        <v>0</v>
      </c>
    </row>
    <row r="225" spans="1:13" s="5" customFormat="1" ht="36.75" customHeight="1">
      <c r="A225" s="503"/>
      <c r="B225" s="510"/>
      <c r="C225" s="60" t="s">
        <v>192</v>
      </c>
      <c r="D225" s="48"/>
      <c r="E225" s="48"/>
      <c r="F225" s="63"/>
      <c r="G225" s="63"/>
      <c r="H225" s="63"/>
      <c r="I225" s="63"/>
      <c r="J225" s="87"/>
      <c r="K225" s="63"/>
      <c r="L225" s="63"/>
      <c r="M225" s="63"/>
    </row>
    <row r="226" spans="1:13" s="5" customFormat="1" ht="56.25">
      <c r="A226" s="503"/>
      <c r="B226" s="510"/>
      <c r="C226" s="60" t="s">
        <v>178</v>
      </c>
      <c r="D226" s="48"/>
      <c r="E226" s="48"/>
      <c r="F226" s="63"/>
      <c r="G226" s="63"/>
      <c r="H226" s="63"/>
      <c r="I226" s="63"/>
      <c r="J226" s="87"/>
      <c r="K226" s="63"/>
      <c r="L226" s="63"/>
      <c r="M226" s="63"/>
    </row>
    <row r="227" spans="1:13" s="6" customFormat="1" ht="24" customHeight="1">
      <c r="A227" s="503" t="s">
        <v>144</v>
      </c>
      <c r="B227" s="510" t="s">
        <v>145</v>
      </c>
      <c r="C227" s="61" t="s">
        <v>116</v>
      </c>
      <c r="D227" s="52"/>
      <c r="E227" s="50"/>
      <c r="F227" s="62">
        <f>SUM(G227:M227)</f>
        <v>509.57715</v>
      </c>
      <c r="G227" s="62">
        <f aca="true" t="shared" si="61" ref="G227:M227">SUM(G228:G233)</f>
        <v>214</v>
      </c>
      <c r="H227" s="62">
        <f t="shared" si="61"/>
        <v>295.57715</v>
      </c>
      <c r="I227" s="62">
        <f t="shared" si="61"/>
        <v>0</v>
      </c>
      <c r="J227" s="86">
        <f t="shared" si="61"/>
        <v>0</v>
      </c>
      <c r="K227" s="62">
        <f t="shared" si="61"/>
        <v>0</v>
      </c>
      <c r="L227" s="62">
        <f t="shared" si="61"/>
        <v>0</v>
      </c>
      <c r="M227" s="62">
        <f t="shared" si="61"/>
        <v>0</v>
      </c>
    </row>
    <row r="228" spans="1:13" s="5" customFormat="1" ht="37.5">
      <c r="A228" s="503"/>
      <c r="B228" s="510"/>
      <c r="C228" s="60" t="s">
        <v>117</v>
      </c>
      <c r="D228" s="42"/>
      <c r="E228" s="48"/>
      <c r="F228" s="63">
        <f>SUM(G228:M228)</f>
        <v>0</v>
      </c>
      <c r="G228" s="63">
        <f>'приложение 8'!D1257</f>
        <v>0</v>
      </c>
      <c r="H228" s="63">
        <f>'приложение 8'!E1257</f>
        <v>0</v>
      </c>
      <c r="I228" s="63">
        <f>'приложение 8'!F1257</f>
        <v>0</v>
      </c>
      <c r="J228" s="87">
        <f>'приложение 8'!G1257</f>
        <v>0</v>
      </c>
      <c r="K228" s="63">
        <f>'приложение 8'!J1257</f>
        <v>0</v>
      </c>
      <c r="L228" s="63">
        <f>'приложение 8'!J1257</f>
        <v>0</v>
      </c>
      <c r="M228" s="63">
        <f>'приложение 8'!K1257</f>
        <v>0</v>
      </c>
    </row>
    <row r="229" spans="1:13" s="6" customFormat="1" ht="24" customHeight="1">
      <c r="A229" s="503"/>
      <c r="B229" s="510"/>
      <c r="C229" s="61" t="s">
        <v>118</v>
      </c>
      <c r="D229" s="50" t="s">
        <v>109</v>
      </c>
      <c r="E229" s="50" t="s">
        <v>213</v>
      </c>
      <c r="F229" s="62">
        <f>SUM(G229:M229)</f>
        <v>509.57715</v>
      </c>
      <c r="G229" s="62">
        <f>'приложение 8'!D1258</f>
        <v>214</v>
      </c>
      <c r="H229" s="62">
        <f>'приложение 8'!E1258</f>
        <v>295.57715</v>
      </c>
      <c r="I229" s="62">
        <f>'приложение 8'!F1258</f>
        <v>0</v>
      </c>
      <c r="J229" s="86">
        <f>'приложение 8'!G1258</f>
        <v>0</v>
      </c>
      <c r="K229" s="62">
        <f>'приложение 8'!I1258</f>
        <v>0</v>
      </c>
      <c r="L229" s="62">
        <f>'приложение 8'!J1258</f>
        <v>0</v>
      </c>
      <c r="M229" s="62">
        <f>'приложение 8'!K1258</f>
        <v>0</v>
      </c>
    </row>
    <row r="230" spans="1:13" s="5" customFormat="1" ht="24" customHeight="1">
      <c r="A230" s="503"/>
      <c r="B230" s="510"/>
      <c r="C230" s="60" t="s">
        <v>119</v>
      </c>
      <c r="D230" s="48"/>
      <c r="E230" s="48"/>
      <c r="F230" s="63">
        <f>SUM(G230:M230)</f>
        <v>0</v>
      </c>
      <c r="G230" s="63">
        <f>'приложение 8'!D1259</f>
        <v>0</v>
      </c>
      <c r="H230" s="63">
        <f>'приложение 8'!E1259</f>
        <v>0</v>
      </c>
      <c r="I230" s="63">
        <f>'приложение 8'!F1259</f>
        <v>0</v>
      </c>
      <c r="J230" s="87">
        <f>'приложение 8'!G1259</f>
        <v>0</v>
      </c>
      <c r="K230" s="63">
        <f>'приложение 8'!J1259</f>
        <v>0</v>
      </c>
      <c r="L230" s="63">
        <f>'приложение 8'!J1259</f>
        <v>0</v>
      </c>
      <c r="M230" s="63">
        <f>'приложение 8'!K1259</f>
        <v>0</v>
      </c>
    </row>
    <row r="231" spans="1:13" s="5" customFormat="1" ht="37.5">
      <c r="A231" s="503"/>
      <c r="B231" s="510"/>
      <c r="C231" s="60" t="s">
        <v>120</v>
      </c>
      <c r="D231" s="48"/>
      <c r="E231" s="48"/>
      <c r="F231" s="63">
        <f>SUM(G231:M231)</f>
        <v>0</v>
      </c>
      <c r="G231" s="63">
        <f>'приложение 8'!D1260</f>
        <v>0</v>
      </c>
      <c r="H231" s="63">
        <f>'приложение 8'!E1260</f>
        <v>0</v>
      </c>
      <c r="I231" s="63">
        <f>'приложение 8'!F1260</f>
        <v>0</v>
      </c>
      <c r="J231" s="87">
        <f>'приложение 8'!G1260</f>
        <v>0</v>
      </c>
      <c r="K231" s="63">
        <f>'приложение 8'!J1260</f>
        <v>0</v>
      </c>
      <c r="L231" s="63">
        <f>'приложение 8'!J1260</f>
        <v>0</v>
      </c>
      <c r="M231" s="63">
        <f>'приложение 8'!K1260</f>
        <v>0</v>
      </c>
    </row>
    <row r="232" spans="1:13" s="5" customFormat="1" ht="33.75" customHeight="1">
      <c r="A232" s="503"/>
      <c r="B232" s="510"/>
      <c r="C232" s="60" t="s">
        <v>192</v>
      </c>
      <c r="D232" s="48"/>
      <c r="E232" s="48"/>
      <c r="F232" s="63"/>
      <c r="G232" s="63"/>
      <c r="H232" s="63"/>
      <c r="I232" s="63"/>
      <c r="J232" s="87"/>
      <c r="K232" s="63"/>
      <c r="L232" s="63"/>
      <c r="M232" s="63"/>
    </row>
    <row r="233" spans="1:13" s="5" customFormat="1" ht="56.25">
      <c r="A233" s="503"/>
      <c r="B233" s="510"/>
      <c r="C233" s="60" t="s">
        <v>178</v>
      </c>
      <c r="D233" s="48"/>
      <c r="E233" s="48"/>
      <c r="F233" s="63"/>
      <c r="G233" s="63"/>
      <c r="H233" s="63"/>
      <c r="I233" s="63"/>
      <c r="J233" s="87"/>
      <c r="K233" s="63"/>
      <c r="L233" s="63"/>
      <c r="M233" s="63"/>
    </row>
    <row r="234" spans="1:13" s="6" customFormat="1" ht="18.75" customHeight="1">
      <c r="A234" s="503" t="s">
        <v>146</v>
      </c>
      <c r="B234" s="510" t="s">
        <v>98</v>
      </c>
      <c r="C234" s="61" t="s">
        <v>116</v>
      </c>
      <c r="D234" s="52"/>
      <c r="E234" s="50"/>
      <c r="F234" s="62">
        <f aca="true" t="shared" si="62" ref="F234:F239">SUM(G234:M234)</f>
        <v>5600.7119999999995</v>
      </c>
      <c r="G234" s="62">
        <f aca="true" t="shared" si="63" ref="G234:M234">SUM(G235:G240)</f>
        <v>815</v>
      </c>
      <c r="H234" s="62">
        <f t="shared" si="63"/>
        <v>920.9</v>
      </c>
      <c r="I234" s="62">
        <f t="shared" si="63"/>
        <v>915.328</v>
      </c>
      <c r="J234" s="86">
        <f t="shared" si="63"/>
        <v>893.379</v>
      </c>
      <c r="K234" s="62">
        <f t="shared" si="63"/>
        <v>877.0350000000001</v>
      </c>
      <c r="L234" s="62">
        <f t="shared" si="63"/>
        <v>877.0350000000001</v>
      </c>
      <c r="M234" s="62">
        <f t="shared" si="63"/>
        <v>302.035</v>
      </c>
    </row>
    <row r="235" spans="1:13" s="5" customFormat="1" ht="37.5">
      <c r="A235" s="503"/>
      <c r="B235" s="510"/>
      <c r="C235" s="60" t="s">
        <v>117</v>
      </c>
      <c r="D235" s="42"/>
      <c r="E235" s="48"/>
      <c r="F235" s="63">
        <f t="shared" si="62"/>
        <v>0</v>
      </c>
      <c r="G235" s="63">
        <f>'приложение 8'!D1271</f>
        <v>0</v>
      </c>
      <c r="H235" s="63">
        <f>'приложение 8'!E1271</f>
        <v>0</v>
      </c>
      <c r="I235" s="63">
        <f>'приложение 8'!F1271</f>
        <v>0</v>
      </c>
      <c r="J235" s="87">
        <f>'приложение 8'!G1271</f>
        <v>0</v>
      </c>
      <c r="K235" s="63">
        <f>'приложение 8'!J1271</f>
        <v>0</v>
      </c>
      <c r="L235" s="63">
        <f>'приложение 8'!J1271</f>
        <v>0</v>
      </c>
      <c r="M235" s="63">
        <f>'приложение 8'!K1271</f>
        <v>0</v>
      </c>
    </row>
    <row r="236" spans="1:13" s="5" customFormat="1" ht="24.75" customHeight="1">
      <c r="A236" s="503"/>
      <c r="B236" s="510"/>
      <c r="C236" s="61" t="s">
        <v>118</v>
      </c>
      <c r="D236" s="50" t="s">
        <v>141</v>
      </c>
      <c r="E236" s="50" t="s">
        <v>213</v>
      </c>
      <c r="F236" s="62">
        <f t="shared" si="62"/>
        <v>2150.712</v>
      </c>
      <c r="G236" s="62">
        <f>'приложение 8'!D1272</f>
        <v>240</v>
      </c>
      <c r="H236" s="62">
        <f>'приложение 8'!E1272</f>
        <v>345.9</v>
      </c>
      <c r="I236" s="62">
        <f>'приложение 8'!F1272</f>
        <v>340.328</v>
      </c>
      <c r="J236" s="86">
        <f>'приложение 8'!G1272</f>
        <v>318.379</v>
      </c>
      <c r="K236" s="62">
        <f>'приложение 8'!I1272</f>
        <v>302.035</v>
      </c>
      <c r="L236" s="62">
        <f>'приложение 8'!J1272</f>
        <v>302.035</v>
      </c>
      <c r="M236" s="62">
        <f>'приложение 8'!K1272</f>
        <v>302.035</v>
      </c>
    </row>
    <row r="237" spans="1:13" s="6" customFormat="1" ht="24" customHeight="1">
      <c r="A237" s="503"/>
      <c r="B237" s="510"/>
      <c r="C237" s="60" t="s">
        <v>119</v>
      </c>
      <c r="D237" s="48"/>
      <c r="E237" s="48"/>
      <c r="F237" s="63">
        <f t="shared" si="62"/>
        <v>0</v>
      </c>
      <c r="G237" s="63">
        <f>'приложение 8'!D1273</f>
        <v>0</v>
      </c>
      <c r="H237" s="63">
        <f>'приложение 8'!E1273</f>
        <v>0</v>
      </c>
      <c r="I237" s="63">
        <f>'приложение 8'!F1273</f>
        <v>0</v>
      </c>
      <c r="J237" s="87">
        <f>'приложение 8'!G1273</f>
        <v>0</v>
      </c>
      <c r="K237" s="63">
        <f>'приложение 8'!J1273</f>
        <v>0</v>
      </c>
      <c r="L237" s="63">
        <f>'приложение 8'!J1273</f>
        <v>0</v>
      </c>
      <c r="M237" s="63">
        <f>'приложение 8'!K1273</f>
        <v>0</v>
      </c>
    </row>
    <row r="238" spans="1:13" s="6" customFormat="1" ht="37.5">
      <c r="A238" s="503"/>
      <c r="B238" s="510"/>
      <c r="C238" s="60" t="s">
        <v>120</v>
      </c>
      <c r="D238" s="48"/>
      <c r="E238" s="48"/>
      <c r="F238" s="63">
        <f t="shared" si="62"/>
        <v>0</v>
      </c>
      <c r="G238" s="63">
        <f>'приложение 8'!D1274</f>
        <v>0</v>
      </c>
      <c r="H238" s="63">
        <f>'приложение 8'!E1274</f>
        <v>0</v>
      </c>
      <c r="I238" s="63">
        <f>'приложение 8'!F1274</f>
        <v>0</v>
      </c>
      <c r="J238" s="87">
        <f>'приложение 8'!G1274</f>
        <v>0</v>
      </c>
      <c r="K238" s="63">
        <f>'приложение 8'!J1274</f>
        <v>0</v>
      </c>
      <c r="L238" s="63">
        <f>'приложение 8'!J1274</f>
        <v>0</v>
      </c>
      <c r="M238" s="63">
        <f>'приложение 8'!K1274</f>
        <v>0</v>
      </c>
    </row>
    <row r="239" spans="1:13" s="6" customFormat="1" ht="39.75" customHeight="1">
      <c r="A239" s="503"/>
      <c r="B239" s="510"/>
      <c r="C239" s="60" t="s">
        <v>192</v>
      </c>
      <c r="D239" s="48" t="s">
        <v>109</v>
      </c>
      <c r="E239" s="48" t="s">
        <v>213</v>
      </c>
      <c r="F239" s="63">
        <f t="shared" si="62"/>
        <v>3450</v>
      </c>
      <c r="G239" s="63">
        <f>'приложение 8'!D1275</f>
        <v>575</v>
      </c>
      <c r="H239" s="63">
        <f>'приложение 8'!E1275</f>
        <v>575</v>
      </c>
      <c r="I239" s="63">
        <f>'приложение 8'!F1275</f>
        <v>575</v>
      </c>
      <c r="J239" s="87">
        <f>'приложение 8'!G1275</f>
        <v>575</v>
      </c>
      <c r="K239" s="63">
        <f>'приложение 8'!J1275</f>
        <v>575</v>
      </c>
      <c r="L239" s="63">
        <f>'приложение 8'!J1275</f>
        <v>575</v>
      </c>
      <c r="M239" s="63">
        <f>'приложение 8'!K1275</f>
        <v>0</v>
      </c>
    </row>
    <row r="240" spans="1:13" s="6" customFormat="1" ht="37.5" customHeight="1">
      <c r="A240" s="503"/>
      <c r="B240" s="510"/>
      <c r="C240" s="60" t="s">
        <v>178</v>
      </c>
      <c r="D240" s="48"/>
      <c r="E240" s="48"/>
      <c r="F240" s="63"/>
      <c r="G240" s="63"/>
      <c r="H240" s="63"/>
      <c r="I240" s="63"/>
      <c r="J240" s="87"/>
      <c r="K240" s="63"/>
      <c r="L240" s="63"/>
      <c r="M240" s="63"/>
    </row>
    <row r="241" spans="1:13" s="5" customFormat="1" ht="22.5" customHeight="1">
      <c r="A241" s="503" t="s">
        <v>99</v>
      </c>
      <c r="B241" s="510" t="s">
        <v>189</v>
      </c>
      <c r="C241" s="61" t="s">
        <v>116</v>
      </c>
      <c r="D241" s="52"/>
      <c r="E241" s="50"/>
      <c r="F241" s="62">
        <f aca="true" t="shared" si="64" ref="F241:F248">SUM(G241:M241)</f>
        <v>602213.04637</v>
      </c>
      <c r="G241" s="62">
        <f aca="true" t="shared" si="65" ref="G241:M241">SUM(G242:G252)</f>
        <v>189451</v>
      </c>
      <c r="H241" s="62">
        <f t="shared" si="65"/>
        <v>114886.75529</v>
      </c>
      <c r="I241" s="62">
        <f t="shared" si="65"/>
        <v>78150.76699</v>
      </c>
      <c r="J241" s="86">
        <f t="shared" si="65"/>
        <v>143322.52409</v>
      </c>
      <c r="K241" s="62">
        <f t="shared" si="65"/>
        <v>76402</v>
      </c>
      <c r="L241" s="62">
        <f t="shared" si="65"/>
        <v>0</v>
      </c>
      <c r="M241" s="62">
        <f t="shared" si="65"/>
        <v>0</v>
      </c>
    </row>
    <row r="242" spans="1:13" s="5" customFormat="1" ht="37.5">
      <c r="A242" s="503"/>
      <c r="B242" s="510"/>
      <c r="C242" s="60" t="s">
        <v>117</v>
      </c>
      <c r="D242" s="42"/>
      <c r="E242" s="48"/>
      <c r="F242" s="63">
        <f t="shared" si="64"/>
        <v>0</v>
      </c>
      <c r="G242" s="63">
        <f>'приложение 8'!D1299</f>
        <v>0</v>
      </c>
      <c r="H242" s="63">
        <f>'приложение 8'!E1299</f>
        <v>0</v>
      </c>
      <c r="I242" s="63">
        <f>'приложение 8'!F1299</f>
        <v>0</v>
      </c>
      <c r="J242" s="87">
        <f>'приложение 8'!G1299</f>
        <v>0</v>
      </c>
      <c r="K242" s="63">
        <f>'приложение 8'!J1299</f>
        <v>0</v>
      </c>
      <c r="L242" s="63">
        <f>'приложение 8'!J1299</f>
        <v>0</v>
      </c>
      <c r="M242" s="63">
        <f>'приложение 8'!K1299</f>
        <v>0</v>
      </c>
    </row>
    <row r="243" spans="1:13" s="5" customFormat="1" ht="24" customHeight="1">
      <c r="A243" s="503"/>
      <c r="B243" s="510"/>
      <c r="C243" s="60" t="s">
        <v>118</v>
      </c>
      <c r="D243" s="42">
        <v>815</v>
      </c>
      <c r="E243" s="48" t="s">
        <v>213</v>
      </c>
      <c r="F243" s="63">
        <f t="shared" si="64"/>
        <v>0</v>
      </c>
      <c r="G243" s="63">
        <v>0</v>
      </c>
      <c r="H243" s="63">
        <v>0</v>
      </c>
      <c r="I243" s="63">
        <v>0</v>
      </c>
      <c r="J243" s="87">
        <v>0</v>
      </c>
      <c r="K243" s="63">
        <v>0</v>
      </c>
      <c r="L243" s="63">
        <v>0</v>
      </c>
      <c r="M243" s="63">
        <v>0</v>
      </c>
    </row>
    <row r="244" spans="1:13" s="5" customFormat="1" ht="24" customHeight="1">
      <c r="A244" s="503"/>
      <c r="B244" s="510"/>
      <c r="C244" s="61" t="s">
        <v>118</v>
      </c>
      <c r="D244" s="52">
        <v>847</v>
      </c>
      <c r="E244" s="50" t="s">
        <v>213</v>
      </c>
      <c r="F244" s="62">
        <f t="shared" si="64"/>
        <v>1964.62706</v>
      </c>
      <c r="G244" s="62">
        <f>'приложение 8'!D1304</f>
        <v>1451</v>
      </c>
      <c r="H244" s="62">
        <f>'приложение 8'!E1304</f>
        <v>168.75</v>
      </c>
      <c r="I244" s="62">
        <f>'приложение 8'!F1304</f>
        <v>344.87706</v>
      </c>
      <c r="J244" s="86">
        <f>'приложение 8'!G1304</f>
        <v>0</v>
      </c>
      <c r="K244" s="62">
        <f>'приложение 8'!I1304</f>
        <v>0</v>
      </c>
      <c r="L244" s="62">
        <f>'приложение 8'!J1304</f>
        <v>0</v>
      </c>
      <c r="M244" s="62">
        <f>'приложение 8'!K1304</f>
        <v>0</v>
      </c>
    </row>
    <row r="245" spans="1:13" s="6" customFormat="1" ht="24" customHeight="1">
      <c r="A245" s="503"/>
      <c r="B245" s="510"/>
      <c r="C245" s="61" t="s">
        <v>118</v>
      </c>
      <c r="D245" s="52">
        <v>847</v>
      </c>
      <c r="E245" s="50" t="s">
        <v>213</v>
      </c>
      <c r="F245" s="62">
        <f>SUM(G245:M245)</f>
        <v>0</v>
      </c>
      <c r="G245" s="64">
        <v>0</v>
      </c>
      <c r="H245" s="64">
        <v>0</v>
      </c>
      <c r="I245" s="64">
        <v>0</v>
      </c>
      <c r="J245" s="88">
        <v>0</v>
      </c>
      <c r="K245" s="64">
        <v>0</v>
      </c>
      <c r="L245" s="64">
        <v>0</v>
      </c>
      <c r="M245" s="64">
        <v>0</v>
      </c>
    </row>
    <row r="246" spans="1:13" s="5" customFormat="1" ht="24" customHeight="1">
      <c r="A246" s="503"/>
      <c r="B246" s="510"/>
      <c r="C246" s="61" t="s">
        <v>118</v>
      </c>
      <c r="D246" s="52">
        <v>822</v>
      </c>
      <c r="E246" s="48" t="s">
        <v>213</v>
      </c>
      <c r="F246" s="62">
        <f t="shared" si="64"/>
        <v>302718.00529</v>
      </c>
      <c r="G246" s="64">
        <f>'приложение 8'!D1302</f>
        <v>188000</v>
      </c>
      <c r="H246" s="64">
        <f>'приложение 8'!E1302</f>
        <v>114718.00529</v>
      </c>
      <c r="I246" s="80">
        <f>'приложение 8'!F1302</f>
        <v>0</v>
      </c>
      <c r="J246" s="88">
        <f>'приложение 8'!G1302</f>
        <v>0</v>
      </c>
      <c r="K246" s="64">
        <f>'приложение 8'!I1302</f>
        <v>0</v>
      </c>
      <c r="L246" s="64">
        <f>'приложение 8'!J1302</f>
        <v>0</v>
      </c>
      <c r="M246" s="64">
        <f>'приложение 8'!K1302</f>
        <v>0</v>
      </c>
    </row>
    <row r="247" spans="1:13" s="5" customFormat="1" ht="24" customHeight="1">
      <c r="A247" s="503"/>
      <c r="B247" s="510"/>
      <c r="C247" s="61" t="s">
        <v>118</v>
      </c>
      <c r="D247" s="52">
        <v>804</v>
      </c>
      <c r="E247" s="50" t="s">
        <v>213</v>
      </c>
      <c r="F247" s="62">
        <f>SUM(G247:M247)</f>
        <v>297530.41402</v>
      </c>
      <c r="G247" s="64">
        <f>'приложение 8'!D1303</f>
        <v>0</v>
      </c>
      <c r="H247" s="64">
        <f>'приложение 8'!E1303</f>
        <v>0</v>
      </c>
      <c r="I247" s="80">
        <f>'приложение 8'!F1303</f>
        <v>77805.88993</v>
      </c>
      <c r="J247" s="88">
        <f>'приложение 8'!G1303</f>
        <v>143322.52409</v>
      </c>
      <c r="K247" s="64">
        <f>'приложение 8'!I1303</f>
        <v>76402</v>
      </c>
      <c r="L247" s="64">
        <f>'приложение 8'!J1303</f>
        <v>0</v>
      </c>
      <c r="M247" s="64">
        <f>'приложение 8'!K1303</f>
        <v>0</v>
      </c>
    </row>
    <row r="248" spans="1:13" s="6" customFormat="1" ht="24" customHeight="1">
      <c r="A248" s="503"/>
      <c r="B248" s="510"/>
      <c r="C248" s="61" t="s">
        <v>118</v>
      </c>
      <c r="D248" s="50" t="s">
        <v>110</v>
      </c>
      <c r="E248" s="50" t="s">
        <v>213</v>
      </c>
      <c r="F248" s="62">
        <f t="shared" si="64"/>
        <v>0</v>
      </c>
      <c r="G248" s="62">
        <f>'приложение 8'!D1301</f>
        <v>0</v>
      </c>
      <c r="H248" s="62">
        <f>'приложение 8'!E1301</f>
        <v>0</v>
      </c>
      <c r="I248" s="62">
        <f>'приложение 8'!F1301</f>
        <v>0</v>
      </c>
      <c r="J248" s="86">
        <f>'приложение 8'!G1301</f>
        <v>0</v>
      </c>
      <c r="K248" s="62">
        <f>'приложение 8'!J1301</f>
        <v>0</v>
      </c>
      <c r="L248" s="62">
        <f>'приложение 8'!J1301</f>
        <v>0</v>
      </c>
      <c r="M248" s="62">
        <f>'приложение 8'!K1301</f>
        <v>0</v>
      </c>
    </row>
    <row r="249" spans="1:13" s="5" customFormat="1" ht="24" customHeight="1">
      <c r="A249" s="503"/>
      <c r="B249" s="510"/>
      <c r="C249" s="60" t="s">
        <v>119</v>
      </c>
      <c r="D249" s="48"/>
      <c r="E249" s="48"/>
      <c r="F249" s="63"/>
      <c r="G249" s="63"/>
      <c r="H249" s="63"/>
      <c r="I249" s="63"/>
      <c r="J249" s="87"/>
      <c r="K249" s="63"/>
      <c r="L249" s="63"/>
      <c r="M249" s="63"/>
    </row>
    <row r="250" spans="1:13" s="5" customFormat="1" ht="37.5">
      <c r="A250" s="503"/>
      <c r="B250" s="510"/>
      <c r="C250" s="60" t="s">
        <v>120</v>
      </c>
      <c r="D250" s="48"/>
      <c r="E250" s="48"/>
      <c r="F250" s="63"/>
      <c r="G250" s="63"/>
      <c r="H250" s="63"/>
      <c r="I250" s="63"/>
      <c r="J250" s="87"/>
      <c r="K250" s="63"/>
      <c r="L250" s="63"/>
      <c r="M250" s="63"/>
    </row>
    <row r="251" spans="1:13" s="5" customFormat="1" ht="33.75" customHeight="1">
      <c r="A251" s="503"/>
      <c r="B251" s="510"/>
      <c r="C251" s="60" t="s">
        <v>192</v>
      </c>
      <c r="D251" s="48"/>
      <c r="E251" s="48"/>
      <c r="F251" s="63"/>
      <c r="G251" s="63"/>
      <c r="H251" s="63"/>
      <c r="I251" s="63"/>
      <c r="J251" s="87"/>
      <c r="K251" s="63"/>
      <c r="L251" s="63"/>
      <c r="M251" s="63"/>
    </row>
    <row r="252" spans="1:13" s="5" customFormat="1" ht="56.25">
      <c r="A252" s="503"/>
      <c r="B252" s="510"/>
      <c r="C252" s="60" t="s">
        <v>178</v>
      </c>
      <c r="D252" s="48"/>
      <c r="E252" s="48"/>
      <c r="F252" s="63"/>
      <c r="G252" s="63"/>
      <c r="H252" s="63"/>
      <c r="I252" s="63"/>
      <c r="J252" s="87"/>
      <c r="K252" s="63"/>
      <c r="L252" s="63"/>
      <c r="M252" s="63"/>
    </row>
    <row r="253" spans="1:13" s="6" customFormat="1" ht="27.75" customHeight="1">
      <c r="A253" s="503" t="s">
        <v>103</v>
      </c>
      <c r="B253" s="510" t="s">
        <v>104</v>
      </c>
      <c r="C253" s="61" t="s">
        <v>116</v>
      </c>
      <c r="D253" s="52"/>
      <c r="E253" s="50"/>
      <c r="F253" s="62">
        <f aca="true" t="shared" si="66" ref="F253:F260">SUM(G253:M253)</f>
        <v>3649.7284199999995</v>
      </c>
      <c r="G253" s="62">
        <f aca="true" t="shared" si="67" ref="G253:M253">SUM(G254:G260)</f>
        <v>497.8</v>
      </c>
      <c r="H253" s="62">
        <f t="shared" si="67"/>
        <v>428</v>
      </c>
      <c r="I253" s="62">
        <f t="shared" si="67"/>
        <v>405.09999999999997</v>
      </c>
      <c r="J253" s="86">
        <f t="shared" si="67"/>
        <v>503.52842</v>
      </c>
      <c r="K253" s="62">
        <f t="shared" si="67"/>
        <v>605.1</v>
      </c>
      <c r="L253" s="62">
        <f t="shared" si="67"/>
        <v>605.1</v>
      </c>
      <c r="M253" s="62">
        <f t="shared" si="67"/>
        <v>605.1</v>
      </c>
    </row>
    <row r="254" spans="1:13" s="5" customFormat="1" ht="37.5">
      <c r="A254" s="503"/>
      <c r="B254" s="510"/>
      <c r="C254" s="60" t="s">
        <v>117</v>
      </c>
      <c r="D254" s="42"/>
      <c r="E254" s="48"/>
      <c r="F254" s="63">
        <f t="shared" si="66"/>
        <v>0</v>
      </c>
      <c r="G254" s="63">
        <f>'приложение 8'!D1370</f>
        <v>0</v>
      </c>
      <c r="H254" s="63">
        <f>'приложение 8'!E1370</f>
        <v>0</v>
      </c>
      <c r="I254" s="63">
        <f>'приложение 8'!F1370</f>
        <v>0</v>
      </c>
      <c r="J254" s="87">
        <f>'приложение 8'!G1370</f>
        <v>0</v>
      </c>
      <c r="K254" s="63">
        <f>'приложение 8'!J1370</f>
        <v>0</v>
      </c>
      <c r="L254" s="63">
        <f>'приложение 8'!J1370</f>
        <v>0</v>
      </c>
      <c r="M254" s="63">
        <f>'приложение 8'!K1370</f>
        <v>0</v>
      </c>
    </row>
    <row r="255" spans="1:13" s="6" customFormat="1" ht="27.75" customHeight="1">
      <c r="A255" s="503"/>
      <c r="B255" s="510"/>
      <c r="C255" s="61" t="s">
        <v>118</v>
      </c>
      <c r="D255" s="52">
        <v>847</v>
      </c>
      <c r="E255" s="50" t="s">
        <v>213</v>
      </c>
      <c r="F255" s="62">
        <f t="shared" si="66"/>
        <v>3548.1568399999996</v>
      </c>
      <c r="G255" s="62">
        <f>'приложение 8'!D1371</f>
        <v>497.8</v>
      </c>
      <c r="H255" s="62">
        <f>'приложение 8'!E1371</f>
        <v>428</v>
      </c>
      <c r="I255" s="62">
        <f>'приложение 8'!F1371</f>
        <v>405.09999999999997</v>
      </c>
      <c r="J255" s="86">
        <f>'приложение 8'!G1371-101.57158</f>
        <v>401.95684</v>
      </c>
      <c r="K255" s="62">
        <f>'приложение 8'!I1371</f>
        <v>605.1</v>
      </c>
      <c r="L255" s="62">
        <f>'приложение 8'!J1371</f>
        <v>605.1</v>
      </c>
      <c r="M255" s="62">
        <f>'приложение 8'!K1371</f>
        <v>605.1</v>
      </c>
    </row>
    <row r="256" spans="1:13" s="6" customFormat="1" ht="27.75" customHeight="1">
      <c r="A256" s="503"/>
      <c r="B256" s="510"/>
      <c r="C256" s="61"/>
      <c r="D256" s="52">
        <v>813</v>
      </c>
      <c r="E256" s="50" t="s">
        <v>213</v>
      </c>
      <c r="F256" s="62"/>
      <c r="G256" s="62"/>
      <c r="H256" s="62"/>
      <c r="I256" s="62"/>
      <c r="J256" s="86">
        <v>101.57158</v>
      </c>
      <c r="K256" s="62"/>
      <c r="L256" s="62"/>
      <c r="M256" s="62"/>
    </row>
    <row r="257" spans="1:13" s="5" customFormat="1" ht="27.75" customHeight="1">
      <c r="A257" s="503"/>
      <c r="B257" s="510"/>
      <c r="C257" s="60" t="s">
        <v>119</v>
      </c>
      <c r="D257" s="48"/>
      <c r="E257" s="48"/>
      <c r="F257" s="63">
        <f t="shared" si="66"/>
        <v>0</v>
      </c>
      <c r="G257" s="63">
        <f>'приложение 8'!D1372</f>
        <v>0</v>
      </c>
      <c r="H257" s="63">
        <f>'приложение 8'!E1372</f>
        <v>0</v>
      </c>
      <c r="I257" s="63">
        <f>'приложение 8'!F1372</f>
        <v>0</v>
      </c>
      <c r="J257" s="87">
        <f>'приложение 8'!G1372</f>
        <v>0</v>
      </c>
      <c r="K257" s="63">
        <f>'приложение 8'!J1372</f>
        <v>0</v>
      </c>
      <c r="L257" s="63">
        <f>'приложение 8'!J1372</f>
        <v>0</v>
      </c>
      <c r="M257" s="63">
        <f>'приложение 8'!K1372</f>
        <v>0</v>
      </c>
    </row>
    <row r="258" spans="1:13" s="5" customFormat="1" ht="37.5">
      <c r="A258" s="503"/>
      <c r="B258" s="510"/>
      <c r="C258" s="60" t="s">
        <v>120</v>
      </c>
      <c r="D258" s="48"/>
      <c r="E258" s="48"/>
      <c r="F258" s="63">
        <f t="shared" si="66"/>
        <v>0</v>
      </c>
      <c r="G258" s="63">
        <f>'приложение 8'!D1373</f>
        <v>0</v>
      </c>
      <c r="H258" s="63">
        <f>'приложение 8'!E1373</f>
        <v>0</v>
      </c>
      <c r="I258" s="63">
        <f>'приложение 8'!F1373</f>
        <v>0</v>
      </c>
      <c r="J258" s="87">
        <f>'приложение 8'!G1373</f>
        <v>0</v>
      </c>
      <c r="K258" s="63">
        <f>'приложение 8'!J1373</f>
        <v>0</v>
      </c>
      <c r="L258" s="63">
        <f>'приложение 8'!J1373</f>
        <v>0</v>
      </c>
      <c r="M258" s="63">
        <f>'приложение 8'!K1373</f>
        <v>0</v>
      </c>
    </row>
    <row r="259" spans="1:13" s="5" customFormat="1" ht="39.75" customHeight="1">
      <c r="A259" s="503"/>
      <c r="B259" s="510"/>
      <c r="C259" s="60" t="s">
        <v>192</v>
      </c>
      <c r="D259" s="48"/>
      <c r="E259" s="48"/>
      <c r="F259" s="63">
        <f t="shared" si="66"/>
        <v>0</v>
      </c>
      <c r="G259" s="63"/>
      <c r="H259" s="63"/>
      <c r="I259" s="63"/>
      <c r="J259" s="87"/>
      <c r="K259" s="63"/>
      <c r="L259" s="63"/>
      <c r="M259" s="63"/>
    </row>
    <row r="260" spans="1:13" s="5" customFormat="1" ht="56.25">
      <c r="A260" s="503"/>
      <c r="B260" s="510"/>
      <c r="C260" s="60" t="s">
        <v>178</v>
      </c>
      <c r="D260" s="48"/>
      <c r="E260" s="48"/>
      <c r="F260" s="63">
        <f t="shared" si="66"/>
        <v>0</v>
      </c>
      <c r="G260" s="63"/>
      <c r="H260" s="63"/>
      <c r="I260" s="63"/>
      <c r="J260" s="87"/>
      <c r="K260" s="63"/>
      <c r="L260" s="63"/>
      <c r="M260" s="63"/>
    </row>
    <row r="261" spans="1:13" ht="18.75">
      <c r="A261" s="503" t="s">
        <v>147</v>
      </c>
      <c r="B261" s="510" t="s">
        <v>105</v>
      </c>
      <c r="C261" s="61" t="s">
        <v>116</v>
      </c>
      <c r="D261" s="52"/>
      <c r="E261" s="50"/>
      <c r="F261" s="62">
        <f aca="true" t="shared" si="68" ref="F261:F267">SUM(G261:M261)</f>
        <v>379.826</v>
      </c>
      <c r="G261" s="62">
        <f aca="true" t="shared" si="69" ref="G261:M261">SUM(G262:G267)</f>
        <v>230</v>
      </c>
      <c r="H261" s="62">
        <f t="shared" si="69"/>
        <v>149.826</v>
      </c>
      <c r="I261" s="62">
        <f t="shared" si="69"/>
        <v>0</v>
      </c>
      <c r="J261" s="86">
        <f t="shared" si="69"/>
        <v>0</v>
      </c>
      <c r="K261" s="62">
        <f t="shared" si="69"/>
        <v>0</v>
      </c>
      <c r="L261" s="62">
        <f t="shared" si="69"/>
        <v>0</v>
      </c>
      <c r="M261" s="62">
        <f t="shared" si="69"/>
        <v>0</v>
      </c>
    </row>
    <row r="262" spans="1:13" ht="37.5">
      <c r="A262" s="503"/>
      <c r="B262" s="510"/>
      <c r="C262" s="60" t="s">
        <v>117</v>
      </c>
      <c r="D262" s="42"/>
      <c r="E262" s="48"/>
      <c r="F262" s="63">
        <f t="shared" si="68"/>
        <v>0</v>
      </c>
      <c r="G262" s="63">
        <f>'приложение 8'!D1398</f>
        <v>0</v>
      </c>
      <c r="H262" s="63">
        <f>'приложение 8'!E1398</f>
        <v>0</v>
      </c>
      <c r="I262" s="63">
        <f>'приложение 8'!F1398</f>
        <v>0</v>
      </c>
      <c r="J262" s="87">
        <f>'приложение 8'!G1398</f>
        <v>0</v>
      </c>
      <c r="K262" s="63">
        <f>'приложение 8'!J1398</f>
        <v>0</v>
      </c>
      <c r="L262" s="63">
        <f>'приложение 8'!J1398</f>
        <v>0</v>
      </c>
      <c r="M262" s="63">
        <f>'приложение 8'!K1398</f>
        <v>0</v>
      </c>
    </row>
    <row r="263" spans="1:13" ht="37.5">
      <c r="A263" s="503"/>
      <c r="B263" s="510"/>
      <c r="C263" s="61" t="s">
        <v>118</v>
      </c>
      <c r="D263" s="52">
        <v>815</v>
      </c>
      <c r="E263" s="50" t="s">
        <v>213</v>
      </c>
      <c r="F263" s="62">
        <f t="shared" si="68"/>
        <v>379.826</v>
      </c>
      <c r="G263" s="62">
        <f>'приложение 8'!D1399</f>
        <v>230</v>
      </c>
      <c r="H263" s="62">
        <f>'приложение 8'!E1399</f>
        <v>149.826</v>
      </c>
      <c r="I263" s="62">
        <f>'приложение 8'!F1399</f>
        <v>0</v>
      </c>
      <c r="J263" s="86">
        <f>'приложение 8'!G1399</f>
        <v>0</v>
      </c>
      <c r="K263" s="62">
        <f>'приложение 8'!I1399</f>
        <v>0</v>
      </c>
      <c r="L263" s="62">
        <f>'приложение 8'!J1399</f>
        <v>0</v>
      </c>
      <c r="M263" s="62">
        <f>'приложение 8'!K1399</f>
        <v>0</v>
      </c>
    </row>
    <row r="264" spans="1:13" ht="18.75">
      <c r="A264" s="503"/>
      <c r="B264" s="510"/>
      <c r="C264" s="60" t="s">
        <v>119</v>
      </c>
      <c r="D264" s="48"/>
      <c r="E264" s="48"/>
      <c r="F264" s="63">
        <f t="shared" si="68"/>
        <v>0</v>
      </c>
      <c r="G264" s="63">
        <f>'приложение 8'!D1400</f>
        <v>0</v>
      </c>
      <c r="H264" s="63">
        <f>'приложение 8'!E1400</f>
        <v>0</v>
      </c>
      <c r="I264" s="63">
        <f>'приложение 8'!F1400</f>
        <v>0</v>
      </c>
      <c r="J264" s="87">
        <f>'приложение 8'!G1400</f>
        <v>0</v>
      </c>
      <c r="K264" s="63">
        <f>'приложение 8'!J1400</f>
        <v>0</v>
      </c>
      <c r="L264" s="63">
        <f>'приложение 8'!J1400</f>
        <v>0</v>
      </c>
      <c r="M264" s="63">
        <f>'приложение 8'!K1400</f>
        <v>0</v>
      </c>
    </row>
    <row r="265" spans="1:13" ht="37.5">
      <c r="A265" s="503"/>
      <c r="B265" s="510"/>
      <c r="C265" s="60" t="s">
        <v>120</v>
      </c>
      <c r="D265" s="48"/>
      <c r="E265" s="48"/>
      <c r="F265" s="63">
        <f t="shared" si="68"/>
        <v>0</v>
      </c>
      <c r="G265" s="63">
        <f>'приложение 8'!D1401</f>
        <v>0</v>
      </c>
      <c r="H265" s="63">
        <f>'приложение 8'!E1401</f>
        <v>0</v>
      </c>
      <c r="I265" s="63">
        <f>'приложение 8'!F1401</f>
        <v>0</v>
      </c>
      <c r="J265" s="87">
        <f>'приложение 8'!G1401</f>
        <v>0</v>
      </c>
      <c r="K265" s="63">
        <f>'приложение 8'!J1401</f>
        <v>0</v>
      </c>
      <c r="L265" s="63">
        <f>'приложение 8'!J1401</f>
        <v>0</v>
      </c>
      <c r="M265" s="63">
        <f>'приложение 8'!K1401</f>
        <v>0</v>
      </c>
    </row>
    <row r="266" spans="1:13" ht="39.75" customHeight="1">
      <c r="A266" s="503"/>
      <c r="B266" s="510"/>
      <c r="C266" s="60" t="s">
        <v>192</v>
      </c>
      <c r="D266" s="48"/>
      <c r="E266" s="48"/>
      <c r="F266" s="63">
        <f t="shared" si="68"/>
        <v>0</v>
      </c>
      <c r="G266" s="63"/>
      <c r="H266" s="63"/>
      <c r="I266" s="63"/>
      <c r="J266" s="87"/>
      <c r="K266" s="63"/>
      <c r="L266" s="63"/>
      <c r="M266" s="63"/>
    </row>
    <row r="267" spans="1:13" ht="56.25">
      <c r="A267" s="503"/>
      <c r="B267" s="510"/>
      <c r="C267" s="60" t="s">
        <v>178</v>
      </c>
      <c r="D267" s="48"/>
      <c r="E267" s="48"/>
      <c r="F267" s="63">
        <f t="shared" si="68"/>
        <v>0</v>
      </c>
      <c r="G267" s="63"/>
      <c r="H267" s="63"/>
      <c r="I267" s="63"/>
      <c r="J267" s="87"/>
      <c r="K267" s="63"/>
      <c r="L267" s="63"/>
      <c r="M267" s="63"/>
    </row>
    <row r="268" spans="1:13" ht="15.75">
      <c r="A268" s="65"/>
      <c r="B268" s="65"/>
      <c r="C268" s="65"/>
      <c r="D268" s="66"/>
      <c r="E268" s="67"/>
      <c r="F268" s="68"/>
      <c r="G268" s="68"/>
      <c r="H268" s="68"/>
      <c r="I268" s="68"/>
      <c r="J268" s="89"/>
      <c r="K268" s="69" t="s">
        <v>190</v>
      </c>
      <c r="L268" s="69" t="s">
        <v>190</v>
      </c>
      <c r="M268" s="69" t="s">
        <v>190</v>
      </c>
    </row>
    <row r="269" spans="1:13" ht="24.75" customHeight="1">
      <c r="A269" s="65"/>
      <c r="B269" s="65"/>
      <c r="C269" s="493" t="s">
        <v>66</v>
      </c>
      <c r="D269" s="493"/>
      <c r="E269" s="493"/>
      <c r="F269" s="79">
        <f aca="true" t="shared" si="70" ref="F269:M271">F15+F44+F77+F93+F135+F187</f>
        <v>11350737.185379999</v>
      </c>
      <c r="G269" s="75">
        <f t="shared" si="70"/>
        <v>1722457.7529299997</v>
      </c>
      <c r="H269" s="75">
        <f t="shared" si="70"/>
        <v>1644160.87867</v>
      </c>
      <c r="I269" s="75">
        <f t="shared" si="70"/>
        <v>1739440.4019000002</v>
      </c>
      <c r="J269" s="90">
        <f t="shared" si="70"/>
        <v>2080407.0623</v>
      </c>
      <c r="K269" s="75">
        <f t="shared" si="70"/>
        <v>1820871.10714</v>
      </c>
      <c r="L269" s="75">
        <f t="shared" si="70"/>
        <v>1411016.2101</v>
      </c>
      <c r="M269" s="75">
        <f t="shared" si="70"/>
        <v>1441930.0861000002</v>
      </c>
    </row>
    <row r="270" spans="1:13" ht="24.75" customHeight="1">
      <c r="A270" s="76"/>
      <c r="B270" s="76"/>
      <c r="C270" s="76"/>
      <c r="D270" s="76"/>
      <c r="E270" s="76"/>
      <c r="F270" s="75">
        <f t="shared" si="70"/>
        <v>255490.84600000002</v>
      </c>
      <c r="G270" s="75">
        <f t="shared" si="70"/>
        <v>98363.584</v>
      </c>
      <c r="H270" s="75">
        <f t="shared" si="70"/>
        <v>102115.062</v>
      </c>
      <c r="I270" s="75">
        <f t="shared" si="70"/>
        <v>17202.2</v>
      </c>
      <c r="J270" s="90">
        <f t="shared" si="70"/>
        <v>37810</v>
      </c>
      <c r="K270" s="75">
        <f t="shared" si="70"/>
        <v>49527.4</v>
      </c>
      <c r="L270" s="75">
        <f t="shared" si="70"/>
        <v>0</v>
      </c>
      <c r="M270" s="75">
        <f t="shared" si="70"/>
        <v>0</v>
      </c>
    </row>
    <row r="271" spans="1:13" ht="24.75" customHeight="1">
      <c r="A271" s="76"/>
      <c r="B271" s="76"/>
      <c r="C271" s="76"/>
      <c r="D271" s="76"/>
      <c r="E271" s="76"/>
      <c r="F271" s="79">
        <f t="shared" si="70"/>
        <v>10830682.60873</v>
      </c>
      <c r="G271" s="75">
        <f t="shared" si="70"/>
        <v>1593895.6534799999</v>
      </c>
      <c r="H271" s="75">
        <f t="shared" si="70"/>
        <v>1520923.2696699996</v>
      </c>
      <c r="I271" s="75">
        <f t="shared" si="70"/>
        <v>1695984.0189000003</v>
      </c>
      <c r="J271" s="90">
        <f t="shared" si="70"/>
        <v>1990945.77549</v>
      </c>
      <c r="K271" s="75">
        <f t="shared" si="70"/>
        <v>1740685.23714</v>
      </c>
      <c r="L271" s="75">
        <f t="shared" si="70"/>
        <v>1380357.7401</v>
      </c>
      <c r="M271" s="75">
        <f t="shared" si="70"/>
        <v>1411846.6161000002</v>
      </c>
    </row>
    <row r="272" spans="1:13" ht="24.75" customHeight="1">
      <c r="A272" s="76"/>
      <c r="B272" s="76"/>
      <c r="C272" s="76"/>
      <c r="D272" s="76"/>
      <c r="E272" s="76"/>
      <c r="F272" s="77">
        <f aca="true" t="shared" si="71" ref="F272:M272">F18+F47+F81+F98+F141+F196</f>
        <v>211586.33065000002</v>
      </c>
      <c r="G272" s="77">
        <f t="shared" si="71"/>
        <v>29623.51545</v>
      </c>
      <c r="H272" s="77">
        <f t="shared" si="71"/>
        <v>20547.547000000002</v>
      </c>
      <c r="I272" s="77">
        <f t="shared" si="71"/>
        <v>25679.183</v>
      </c>
      <c r="J272" s="91">
        <f t="shared" si="71"/>
        <v>45485.6752</v>
      </c>
      <c r="K272" s="77">
        <f t="shared" si="71"/>
        <v>30083.47</v>
      </c>
      <c r="L272" s="77">
        <f t="shared" si="71"/>
        <v>30083.47</v>
      </c>
      <c r="M272" s="77">
        <f t="shared" si="71"/>
        <v>30083.47</v>
      </c>
    </row>
    <row r="273" ht="24.75" customHeight="1"/>
    <row r="274" spans="6:13" ht="24.75" customHeight="1">
      <c r="F274" s="78">
        <f aca="true" t="shared" si="72" ref="F274:M274">F20+F49+F83+F100+F143+F198</f>
        <v>3450</v>
      </c>
      <c r="G274" s="78">
        <f t="shared" si="72"/>
        <v>575</v>
      </c>
      <c r="H274" s="78">
        <f t="shared" si="72"/>
        <v>575</v>
      </c>
      <c r="I274" s="78">
        <f t="shared" si="72"/>
        <v>575</v>
      </c>
      <c r="J274" s="93">
        <f t="shared" si="72"/>
        <v>575</v>
      </c>
      <c r="K274" s="78">
        <f t="shared" si="72"/>
        <v>575</v>
      </c>
      <c r="L274" s="78">
        <f t="shared" si="72"/>
        <v>575</v>
      </c>
      <c r="M274" s="78">
        <f t="shared" si="72"/>
        <v>0</v>
      </c>
    </row>
    <row r="275" ht="15">
      <c r="J275" s="94">
        <f>SUM(J270:J274)</f>
        <v>2074816.4506899999</v>
      </c>
    </row>
    <row r="277" ht="15">
      <c r="J277" s="94">
        <f>J269-J275</f>
        <v>5590.611610000255</v>
      </c>
    </row>
  </sheetData>
  <sheetProtection/>
  <mergeCells count="70">
    <mergeCell ref="H1:M1"/>
    <mergeCell ref="A3:M3"/>
    <mergeCell ref="A5:A6"/>
    <mergeCell ref="B5:B6"/>
    <mergeCell ref="C5:C6"/>
    <mergeCell ref="D5:E5"/>
    <mergeCell ref="F5:M5"/>
    <mergeCell ref="A8:A14"/>
    <mergeCell ref="B8:B14"/>
    <mergeCell ref="A15:A21"/>
    <mergeCell ref="B15:B21"/>
    <mergeCell ref="A22:A28"/>
    <mergeCell ref="B22:B28"/>
    <mergeCell ref="A29:A36"/>
    <mergeCell ref="B29:B36"/>
    <mergeCell ref="A37:A43"/>
    <mergeCell ref="B37:B43"/>
    <mergeCell ref="A44:A50"/>
    <mergeCell ref="B44:B50"/>
    <mergeCell ref="A51:A60"/>
    <mergeCell ref="B51:B60"/>
    <mergeCell ref="A61:A69"/>
    <mergeCell ref="B61:B69"/>
    <mergeCell ref="A70:A76"/>
    <mergeCell ref="B70:B76"/>
    <mergeCell ref="A77:A84"/>
    <mergeCell ref="B77:B84"/>
    <mergeCell ref="A85:A92"/>
    <mergeCell ref="B85:B92"/>
    <mergeCell ref="A93:A101"/>
    <mergeCell ref="B93:B101"/>
    <mergeCell ref="A102:A108"/>
    <mergeCell ref="B102:B108"/>
    <mergeCell ref="A109:A117"/>
    <mergeCell ref="B109:B117"/>
    <mergeCell ref="A118:A126"/>
    <mergeCell ref="B118:B126"/>
    <mergeCell ref="A127:A134"/>
    <mergeCell ref="B127:B134"/>
    <mergeCell ref="A135:A144"/>
    <mergeCell ref="B135:B144"/>
    <mergeCell ref="A145:A152"/>
    <mergeCell ref="B145:B152"/>
    <mergeCell ref="A153:A162"/>
    <mergeCell ref="B153:B162"/>
    <mergeCell ref="A163:A170"/>
    <mergeCell ref="B163:B170"/>
    <mergeCell ref="A171:A178"/>
    <mergeCell ref="B171:B178"/>
    <mergeCell ref="A179:A186"/>
    <mergeCell ref="B179:B186"/>
    <mergeCell ref="A187:A199"/>
    <mergeCell ref="B187:B199"/>
    <mergeCell ref="A200:A207"/>
    <mergeCell ref="B200:B207"/>
    <mergeCell ref="A208:A217"/>
    <mergeCell ref="B208:B217"/>
    <mergeCell ref="A218:A226"/>
    <mergeCell ref="B218:B226"/>
    <mergeCell ref="A227:A233"/>
    <mergeCell ref="B227:B233"/>
    <mergeCell ref="A261:A267"/>
    <mergeCell ref="B261:B267"/>
    <mergeCell ref="C269:E269"/>
    <mergeCell ref="A234:A240"/>
    <mergeCell ref="B234:B240"/>
    <mergeCell ref="A241:A252"/>
    <mergeCell ref="B241:B252"/>
    <mergeCell ref="A253:A260"/>
    <mergeCell ref="B253:B260"/>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2020-04-22T02:58:45Z</dcterms:modified>
  <cp:category/>
  <cp:version/>
  <cp:contentType/>
  <cp:contentStatus/>
</cp:coreProperties>
</file>